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'Лист1'!$A$1:$M$131</definedName>
  </definedNames>
  <calcPr fullCalcOnLoad="1"/>
</workbook>
</file>

<file path=xl/sharedStrings.xml><?xml version="1.0" encoding="utf-8"?>
<sst xmlns="http://schemas.openxmlformats.org/spreadsheetml/2006/main" count="227" uniqueCount="208">
  <si>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</si>
  <si>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</si>
  <si>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</si>
  <si>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</si>
  <si>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</si>
  <si>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</si>
  <si>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</si>
  <si>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</si>
  <si>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</si>
  <si>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</si>
  <si>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</si>
  <si>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</si>
  <si>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</si>
  <si>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</si>
  <si>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</si>
  <si>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</si>
  <si>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</si>
  <si>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</si>
  <si>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</si>
  <si>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</si>
  <si>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</si>
  <si>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</si>
  <si>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</si>
  <si>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</si>
  <si>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</si>
  <si>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</si>
  <si>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</si>
  <si>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</si>
  <si>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</si>
  <si>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</si>
  <si>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</si>
  <si>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</si>
  <si>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</si>
  <si>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</si>
  <si>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</si>
  <si>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</si>
  <si>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</si>
  <si>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</si>
  <si>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</si>
  <si>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</si>
  <si>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</si>
  <si>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</si>
  <si>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</si>
  <si>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</si>
  <si>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</si>
  <si>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</si>
  <si>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</si>
  <si>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</si>
  <si>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</si>
  <si>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</si>
  <si>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</si>
  <si>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</si>
  <si>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</si>
  <si>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</si>
  <si>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</si>
  <si>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</si>
  <si>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</si>
  <si>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</si>
  <si>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</si>
  <si>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</si>
  <si>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</si>
  <si>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</si>
  <si>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</si>
  <si>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</si>
  <si>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</si>
  <si>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</si>
  <si>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</si>
  <si>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</si>
  <si>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</si>
  <si>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</si>
  <si>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</si>
  <si>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</si>
  <si>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</si>
  <si>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</si>
  <si>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</si>
  <si>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</si>
  <si>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</si>
  <si>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</si>
  <si>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</si>
  <si>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</si>
  <si>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</si>
  <si>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</si>
  <si>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</si>
  <si>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</si>
  <si>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</si>
  <si>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</si>
  <si>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</si>
  <si>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</si>
  <si>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</si>
  <si>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</si>
  <si>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</si>
  <si>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</si>
  <si>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</si>
  <si>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</si>
  <si>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</si>
  <si>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</si>
  <si>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</si>
  <si>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</si>
  <si>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</si>
  <si>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</si>
  <si>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</si>
  <si>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</si>
  <si>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</si>
  <si>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</si>
  <si>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</si>
  <si>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</si>
  <si>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</si>
  <si>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</si>
  <si>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</si>
  <si>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</si>
  <si>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у тому числі видатки за рахунок цільових субвенцій з державного бюджету</t>
  </si>
  <si>
    <t>від               №</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</si>
  <si>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</si>
  <si>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</si>
  <si>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</si>
  <si>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</si>
  <si>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</si>
  <si>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</si>
  <si>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</si>
  <si>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</si>
  <si>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</si>
  <si>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</si>
  <si>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</si>
  <si>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</si>
  <si>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</si>
  <si>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</si>
  <si>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</si>
  <si>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</si>
  <si>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</si>
  <si>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</si>
  <si>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</si>
  <si>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</si>
  <si>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</si>
  <si>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</si>
  <si>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</si>
  <si>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</si>
  <si>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</si>
  <si>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</si>
  <si>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</si>
  <si>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</si>
  <si>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</si>
  <si>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</si>
  <si>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</si>
  <si>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</si>
  <si>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</si>
  <si>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</si>
  <si>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</si>
  <si>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</si>
  <si>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</si>
  <si>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</si>
  <si>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</si>
  <si>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</si>
  <si>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</si>
  <si>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</si>
  <si>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</si>
  <si>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</si>
  <si>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</si>
  <si>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</si>
  <si>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180404</t>
  </si>
  <si>
    <t>Підтримка малого і середнього підприємництва</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</si>
  <si>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</si>
  <si>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</si>
  <si>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</si>
  <si>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</si>
  <si>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</si>
  <si>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Інші послуги, пов"язані з економічною діяльністю</t>
  </si>
  <si>
    <t xml:space="preserve">Разом </t>
  </si>
  <si>
    <t>Утримання апарату управління громадських фізкультурно - спортивних організацій  ФСТ "Колос"</t>
  </si>
  <si>
    <t>090411</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</si>
  <si>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</si>
  <si>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</si>
  <si>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</si>
  <si>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</si>
  <si>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</si>
  <si>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</si>
  <si>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</si>
  <si>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</si>
  <si>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</si>
  <si>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Уточнений обсяг видатків районного бюджету на 2011 рік за тимчасовою класифікацією видатків та кредитування місцевих бюджетів</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</si>
  <si>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</si>
  <si>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фізкультурно-спортивної спрямованості)</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</si>
  <si>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</si>
  <si>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</si>
  <si>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</si>
  <si>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</si>
  <si>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</si>
  <si>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</si>
  <si>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150000</t>
  </si>
  <si>
    <t>Будівництво</t>
  </si>
  <si>
    <t>150115</t>
  </si>
  <si>
    <t>Завершення проектів газифікації сільських населених пунктів з високим ступенем готовності</t>
  </si>
  <si>
    <t>Видатки, не віднесені до основних груп</t>
  </si>
  <si>
    <t>250380</t>
  </si>
  <si>
    <t>Інші субвенції</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</si>
  <si>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</si>
  <si>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</si>
  <si>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</si>
  <si>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</si>
  <si>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в т.ч. за рахунок субвенції з державного бюджету</t>
  </si>
  <si>
    <t>Цільові фонди</t>
  </si>
  <si>
    <t>Охорона та раціональне використання природних ресурсів</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</si>
  <si>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</si>
  <si>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</si>
  <si>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250353</t>
  </si>
  <si>
    <t>Субвенція на проведення видатків місцевих бюджетів, що не враховуюються при визначенні обсягу міжбюджетних трансфертів</t>
  </si>
  <si>
    <t>Додаток 10</t>
  </si>
  <si>
    <t>Керуюча справами виконавчого апарату районної ради</t>
  </si>
  <si>
    <t>Л.А. Кононенко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</si>
</sst>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2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color indexed="8"/>
      <name val="Times New Roman"/>
      <family val="1"/>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49" fontId="9" fillId="0" borderId="5" xfId="0" applyNumberFormat="1" applyFont="1" applyBorder="1" applyAlignment="1">
      <alignment horizontal="center" vertical="center"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74" fontId="0" fillId="0" borderId="0" xfId="0" applyNumberFormat="1" applyFont="1" applyAlignment="1">
      <alignment vertical="top"/>
    </xf>
    <xf numFmtId="174" fontId="0" fillId="0" borderId="0" xfId="0" applyNumberFormat="1" applyFont="1" applyAlignment="1">
      <alignment vertical="justify"/>
    </xf>
    <xf numFmtId="49" fontId="10" fillId="0" borderId="0" xfId="0" applyNumberFormat="1" applyFont="1" applyAlignment="1">
      <alignment horizontal="center" vertical="top" wrapText="1"/>
    </xf>
    <xf numFmtId="0" fontId="9" fillId="0" borderId="0" xfId="0" applyFont="1" applyBorder="1" applyAlignment="1">
      <alignment vertical="center" wrapText="1"/>
    </xf>
    <xf numFmtId="0" fontId="14" fillId="0" borderId="0" xfId="0" applyFont="1" applyAlignment="1">
      <alignment vertical="justify" wrapText="1"/>
    </xf>
    <xf numFmtId="0" fontId="10" fillId="0" borderId="0" xfId="0" applyFont="1" applyAlignment="1">
      <alignment/>
    </xf>
    <xf numFmtId="0" fontId="19" fillId="0" borderId="0" xfId="0" applyFont="1" applyFill="1" applyAlignment="1">
      <alignment horizontal="left" vertical="top" wrapText="1"/>
    </xf>
    <xf numFmtId="0" fontId="9" fillId="0" borderId="0" xfId="0" applyFont="1" applyBorder="1" applyAlignment="1">
      <alignment vertical="top" wrapText="1"/>
    </xf>
    <xf numFmtId="0" fontId="14" fillId="0" borderId="0" xfId="0" applyFont="1" applyAlignment="1">
      <alignment horizontal="left" wrapText="1"/>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0" xfId="0"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4"/>
  <sheetViews>
    <sheetView tabSelected="1" view="pageBreakPreview" zoomScale="75" zoomScaleNormal="65" zoomScaleSheetLayoutView="75" workbookViewId="0" topLeftCell="A1">
      <pane ySplit="4875" topLeftCell="BM127" activePane="bottomLeft" state="split"/>
      <selection pane="topLeft" activeCell="I4" sqref="I4"/>
      <selection pane="bottomLeft" activeCell="F160" sqref="F160"/>
    </sheetView>
  </sheetViews>
  <sheetFormatPr defaultColWidth="9.00390625" defaultRowHeight="12.75"/>
  <cols>
    <col min="1" max="1" width="13.00390625" style="1" customWidth="1"/>
    <col min="2" max="2" width="60.875" style="1" customWidth="1"/>
    <col min="3" max="3" width="15.875" style="1" customWidth="1"/>
    <col min="4" max="4" width="13.25390625" style="1" customWidth="1"/>
    <col min="5" max="5" width="12.125" style="1" customWidth="1"/>
    <col min="6" max="6" width="14.00390625" style="1" customWidth="1"/>
    <col min="7" max="7" width="10.625" style="1" customWidth="1"/>
    <col min="8" max="8" width="9.375" style="1" customWidth="1"/>
    <col min="9" max="9" width="10.25390625" style="1" customWidth="1"/>
    <col min="10" max="10" width="12.625" style="1" customWidth="1"/>
    <col min="11" max="11" width="13.75390625" style="1" customWidth="1"/>
    <col min="12" max="12" width="14.75390625" style="1" customWidth="1"/>
    <col min="13" max="13" width="14.875" style="1" customWidth="1"/>
    <col min="14" max="14" width="12.625" style="1" customWidth="1"/>
    <col min="15" max="16384" width="9.125" style="1" customWidth="1"/>
  </cols>
  <sheetData>
    <row r="4" ht="12.75">
      <c r="I4" s="1" t="s">
        <v>205</v>
      </c>
    </row>
    <row r="5" ht="12.75">
      <c r="I5" s="1" t="s">
        <v>87</v>
      </c>
    </row>
    <row r="6" ht="12.75">
      <c r="I6" s="1" t="s">
        <v>111</v>
      </c>
    </row>
    <row r="7" spans="1:13" ht="20.25">
      <c r="A7" s="102" t="s">
        <v>178</v>
      </c>
      <c r="B7" s="102"/>
      <c r="C7" s="102"/>
      <c r="D7" s="102"/>
      <c r="E7" s="102"/>
      <c r="F7" s="102"/>
      <c r="G7" s="102"/>
      <c r="H7" s="102"/>
      <c r="I7" s="102"/>
      <c r="J7" s="102"/>
      <c r="K7" s="102"/>
      <c r="L7" s="102"/>
      <c r="M7" s="102"/>
    </row>
    <row r="8" ht="13.5" thickBot="1">
      <c r="M8" s="1" t="s">
        <v>6</v>
      </c>
    </row>
    <row r="9" spans="1:13" ht="32.25" customHeight="1">
      <c r="A9" s="39" t="s">
        <v>136</v>
      </c>
      <c r="B9" s="50" t="s">
        <v>139</v>
      </c>
      <c r="C9" s="87" t="s">
        <v>29</v>
      </c>
      <c r="D9" s="107"/>
      <c r="E9" s="107"/>
      <c r="F9" s="87" t="s">
        <v>30</v>
      </c>
      <c r="G9" s="88"/>
      <c r="H9" s="88"/>
      <c r="I9" s="88"/>
      <c r="J9" s="88"/>
      <c r="K9" s="88"/>
      <c r="L9" s="89"/>
      <c r="M9" s="105" t="s">
        <v>166</v>
      </c>
    </row>
    <row r="10" spans="1:13" ht="12.75" customHeight="1">
      <c r="A10" s="96" t="s">
        <v>137</v>
      </c>
      <c r="B10" s="99" t="s">
        <v>140</v>
      </c>
      <c r="C10" s="84" t="s">
        <v>2</v>
      </c>
      <c r="D10" s="104" t="s">
        <v>3</v>
      </c>
      <c r="E10" s="104"/>
      <c r="F10" s="103" t="s">
        <v>2</v>
      </c>
      <c r="G10" s="104" t="s">
        <v>31</v>
      </c>
      <c r="H10" s="104" t="s">
        <v>3</v>
      </c>
      <c r="I10" s="104"/>
      <c r="J10" s="104" t="s">
        <v>32</v>
      </c>
      <c r="K10" s="90" t="s">
        <v>143</v>
      </c>
      <c r="L10" s="91"/>
      <c r="M10" s="106"/>
    </row>
    <row r="11" spans="1:13" ht="12.75" customHeight="1">
      <c r="A11" s="97"/>
      <c r="B11" s="100"/>
      <c r="C11" s="85"/>
      <c r="D11" s="94" t="s">
        <v>4</v>
      </c>
      <c r="E11" s="94" t="s">
        <v>5</v>
      </c>
      <c r="F11" s="103"/>
      <c r="G11" s="104"/>
      <c r="H11" s="94" t="s">
        <v>4</v>
      </c>
      <c r="I11" s="94" t="s">
        <v>5</v>
      </c>
      <c r="J11" s="104"/>
      <c r="K11" s="92" t="s">
        <v>144</v>
      </c>
      <c r="L11" s="54" t="s">
        <v>143</v>
      </c>
      <c r="M11" s="106"/>
    </row>
    <row r="12" spans="1:13" ht="137.25" customHeight="1">
      <c r="A12" s="98"/>
      <c r="B12" s="101"/>
      <c r="C12" s="86"/>
      <c r="D12" s="95"/>
      <c r="E12" s="95"/>
      <c r="F12" s="103"/>
      <c r="G12" s="104"/>
      <c r="H12" s="95"/>
      <c r="I12" s="95"/>
      <c r="J12" s="104"/>
      <c r="K12" s="93"/>
      <c r="L12" s="54" t="s">
        <v>145</v>
      </c>
      <c r="M12" s="106"/>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6" t="s">
        <v>146</v>
      </c>
      <c r="B14" s="55" t="s">
        <v>147</v>
      </c>
      <c r="C14" s="8"/>
      <c r="D14" s="8"/>
      <c r="E14" s="8"/>
      <c r="M14" s="27"/>
    </row>
    <row r="15" spans="1:13" ht="15.75">
      <c r="A15" s="41" t="s">
        <v>138</v>
      </c>
      <c r="B15" s="10" t="s">
        <v>26</v>
      </c>
      <c r="C15" s="25">
        <f>847.6+189.627+22.466+70+0.7-0.48</f>
        <v>1129.913</v>
      </c>
      <c r="D15" s="25">
        <f>509.811-25.896</f>
        <v>483.91499999999996</v>
      </c>
      <c r="E15" s="25">
        <f>57+5</f>
        <v>62</v>
      </c>
      <c r="F15" s="25">
        <f>G15+J15</f>
        <v>346.37800000000004</v>
      </c>
      <c r="G15" s="25">
        <v>1.8</v>
      </c>
      <c r="H15" s="25"/>
      <c r="I15" s="25"/>
      <c r="J15" s="25">
        <f>322.373+16.425+5.3+0.48</f>
        <v>344.57800000000003</v>
      </c>
      <c r="K15" s="25">
        <f>322.373+16.425+5.3+0.48</f>
        <v>344.57800000000003</v>
      </c>
      <c r="L15" s="25">
        <f>322.373+16.425+5.3+0.48</f>
        <v>344.57800000000003</v>
      </c>
      <c r="M15" s="25">
        <f>C15+F15</f>
        <v>1476.2910000000002</v>
      </c>
    </row>
    <row r="16" spans="1:13" ht="15.75">
      <c r="A16" s="41"/>
      <c r="B16" s="10" t="s">
        <v>198</v>
      </c>
      <c r="C16" s="25">
        <v>51.002</v>
      </c>
      <c r="D16" s="25"/>
      <c r="E16" s="25"/>
      <c r="F16" s="25"/>
      <c r="G16" s="25"/>
      <c r="H16" s="25"/>
      <c r="I16" s="25"/>
      <c r="J16" s="25"/>
      <c r="K16" s="25"/>
      <c r="L16" s="25"/>
      <c r="M16" s="25">
        <f>C16+F16</f>
        <v>51.002</v>
      </c>
    </row>
    <row r="17" spans="1:13" ht="18.75">
      <c r="A17" s="41"/>
      <c r="B17" s="73" t="s">
        <v>8</v>
      </c>
      <c r="C17" s="28">
        <f>C15</f>
        <v>1129.913</v>
      </c>
      <c r="D17" s="28">
        <f>D15</f>
        <v>483.91499999999996</v>
      </c>
      <c r="E17" s="28">
        <f>E15</f>
        <v>62</v>
      </c>
      <c r="F17" s="28">
        <f>G17+J17</f>
        <v>346.37800000000004</v>
      </c>
      <c r="G17" s="28">
        <f aca="true" t="shared" si="0" ref="G17:L17">G15</f>
        <v>1.8</v>
      </c>
      <c r="H17" s="28">
        <f t="shared" si="0"/>
        <v>0</v>
      </c>
      <c r="I17" s="28">
        <f t="shared" si="0"/>
        <v>0</v>
      </c>
      <c r="J17" s="28">
        <f>J15</f>
        <v>344.57800000000003</v>
      </c>
      <c r="K17" s="28">
        <f t="shared" si="0"/>
        <v>344.57800000000003</v>
      </c>
      <c r="L17" s="28">
        <f t="shared" si="0"/>
        <v>344.57800000000003</v>
      </c>
      <c r="M17" s="28">
        <f>F17+C17</f>
        <v>1476.2910000000002</v>
      </c>
    </row>
    <row r="18" spans="1:13" ht="18.75">
      <c r="A18" s="58" t="s">
        <v>49</v>
      </c>
      <c r="B18" s="24" t="s">
        <v>9</v>
      </c>
      <c r="C18" s="25"/>
      <c r="D18" s="25"/>
      <c r="E18" s="25"/>
      <c r="F18" s="74"/>
      <c r="G18" s="25"/>
      <c r="H18" s="25"/>
      <c r="I18" s="25"/>
      <c r="J18" s="25"/>
      <c r="K18" s="25"/>
      <c r="L18" s="25"/>
      <c r="M18" s="25">
        <f aca="true" t="shared" si="1" ref="M18:M78">F18+C18</f>
        <v>0</v>
      </c>
    </row>
    <row r="19" spans="1:13" ht="15.75">
      <c r="A19" s="45" t="s">
        <v>50</v>
      </c>
      <c r="B19" s="35" t="s">
        <v>51</v>
      </c>
      <c r="C19" s="25">
        <f>34570.122-100+4+116.818+2.5+635.681+100-100+40+8</f>
        <v>35277.121</v>
      </c>
      <c r="D19" s="25">
        <f>20839.311+383.48</f>
        <v>21222.791</v>
      </c>
      <c r="E19" s="25">
        <f>4175-100+100-100+40</f>
        <v>4115</v>
      </c>
      <c r="F19" s="25">
        <f>G19+J19</f>
        <v>425.988</v>
      </c>
      <c r="G19" s="25">
        <v>6.3</v>
      </c>
      <c r="H19" s="25"/>
      <c r="I19" s="25"/>
      <c r="J19" s="25">
        <f>7+300.388+9.8+100+2.5</f>
        <v>419.688</v>
      </c>
      <c r="K19" s="25">
        <f>7+300.388+9.8+100+2.5</f>
        <v>419.688</v>
      </c>
      <c r="L19" s="25">
        <f>307.388-7+9.8+100+2.5</f>
        <v>412.688</v>
      </c>
      <c r="M19" s="25">
        <f t="shared" si="1"/>
        <v>35703.109</v>
      </c>
    </row>
    <row r="20" spans="1:13" ht="33.75" customHeight="1">
      <c r="A20" s="47" t="s">
        <v>52</v>
      </c>
      <c r="B20" s="34" t="s">
        <v>177</v>
      </c>
      <c r="C20" s="25">
        <f>1311.3+8.76+49.067</f>
        <v>1369.127</v>
      </c>
      <c r="D20" s="25">
        <f>800.6+36</f>
        <v>836.6</v>
      </c>
      <c r="E20" s="25">
        <v>74.3</v>
      </c>
      <c r="F20" s="25">
        <f>G20+J20</f>
        <v>35</v>
      </c>
      <c r="G20" s="25">
        <v>35</v>
      </c>
      <c r="H20" s="25"/>
      <c r="I20" s="25"/>
      <c r="J20" s="25"/>
      <c r="K20" s="25"/>
      <c r="L20" s="25"/>
      <c r="M20" s="25">
        <f t="shared" si="1"/>
        <v>1404.127</v>
      </c>
    </row>
    <row r="21" spans="1:13" ht="15.75">
      <c r="A21" s="45" t="s">
        <v>53</v>
      </c>
      <c r="B21" s="35" t="s">
        <v>175</v>
      </c>
      <c r="C21" s="25">
        <f>1193+24.686+47.335</f>
        <v>1265.021</v>
      </c>
      <c r="D21" s="25">
        <f>724.241+34.73</f>
        <v>758.971</v>
      </c>
      <c r="E21" s="25">
        <v>122</v>
      </c>
      <c r="F21" s="25"/>
      <c r="G21" s="25"/>
      <c r="H21" s="25"/>
      <c r="I21" s="25"/>
      <c r="J21" s="25"/>
      <c r="K21" s="25"/>
      <c r="L21" s="25"/>
      <c r="M21" s="25">
        <f t="shared" si="1"/>
        <v>1265.021</v>
      </c>
    </row>
    <row r="22" spans="1:13" ht="31.5">
      <c r="A22" s="47" t="s">
        <v>54</v>
      </c>
      <c r="B22" s="32" t="s">
        <v>181</v>
      </c>
      <c r="C22" s="25">
        <f>548.793+4.827+6.259</f>
        <v>559.879</v>
      </c>
      <c r="D22" s="25">
        <f>358.616+4.592</f>
        <v>363.20799999999997</v>
      </c>
      <c r="E22" s="25">
        <v>28</v>
      </c>
      <c r="F22" s="25"/>
      <c r="G22" s="25"/>
      <c r="H22" s="25"/>
      <c r="I22" s="25"/>
      <c r="J22" s="25"/>
      <c r="K22" s="25"/>
      <c r="L22" s="25"/>
      <c r="M22" s="25">
        <f t="shared" si="1"/>
        <v>559.879</v>
      </c>
    </row>
    <row r="23" spans="1:13" ht="21" customHeight="1">
      <c r="A23" s="45" t="s">
        <v>55</v>
      </c>
      <c r="B23" s="32" t="s">
        <v>176</v>
      </c>
      <c r="C23" s="25">
        <f>371.885+6.469+4.408</f>
        <v>382.762</v>
      </c>
      <c r="D23" s="25">
        <f>231.062+3.234</f>
        <v>234.29600000000002</v>
      </c>
      <c r="E23" s="25"/>
      <c r="F23" s="25"/>
      <c r="G23" s="25"/>
      <c r="H23" s="25"/>
      <c r="I23" s="25"/>
      <c r="J23" s="25"/>
      <c r="K23" s="25"/>
      <c r="L23" s="25"/>
      <c r="M23" s="25">
        <f t="shared" si="1"/>
        <v>382.762</v>
      </c>
    </row>
    <row r="24" spans="1:13" ht="15.75">
      <c r="A24" s="45" t="s">
        <v>56</v>
      </c>
      <c r="B24" s="35" t="s">
        <v>57</v>
      </c>
      <c r="C24" s="25">
        <f>545.2+3.741</f>
        <v>548.941</v>
      </c>
      <c r="D24" s="25"/>
      <c r="E24" s="25"/>
      <c r="F24" s="25">
        <f>G24+J24</f>
        <v>98</v>
      </c>
      <c r="G24" s="25"/>
      <c r="H24" s="25"/>
      <c r="I24" s="25"/>
      <c r="J24" s="25">
        <f>80+18</f>
        <v>98</v>
      </c>
      <c r="K24" s="25">
        <f>80+18</f>
        <v>98</v>
      </c>
      <c r="L24" s="25">
        <f>80+18</f>
        <v>98</v>
      </c>
      <c r="M24" s="25">
        <f t="shared" si="1"/>
        <v>646.941</v>
      </c>
    </row>
    <row r="25" spans="1:13" ht="31.5">
      <c r="A25" s="47" t="s">
        <v>58</v>
      </c>
      <c r="B25" s="32" t="s">
        <v>122</v>
      </c>
      <c r="C25" s="25">
        <v>27.03</v>
      </c>
      <c r="D25" s="25"/>
      <c r="E25" s="25"/>
      <c r="F25" s="25"/>
      <c r="G25" s="25"/>
      <c r="H25" s="25"/>
      <c r="I25" s="25"/>
      <c r="J25" s="25"/>
      <c r="K25" s="25"/>
      <c r="L25" s="25"/>
      <c r="M25" s="25">
        <f t="shared" si="1"/>
        <v>27.03</v>
      </c>
    </row>
    <row r="26" spans="1:13" ht="31.5">
      <c r="A26" s="42" t="s">
        <v>86</v>
      </c>
      <c r="B26" s="18" t="s">
        <v>101</v>
      </c>
      <c r="C26" s="25">
        <f>162.1+32.653</f>
        <v>194.753</v>
      </c>
      <c r="D26" s="25"/>
      <c r="E26" s="25"/>
      <c r="F26" s="74"/>
      <c r="G26" s="25"/>
      <c r="H26" s="25"/>
      <c r="I26" s="25"/>
      <c r="J26" s="25"/>
      <c r="K26" s="25"/>
      <c r="L26" s="25"/>
      <c r="M26" s="25">
        <f t="shared" si="1"/>
        <v>194.753</v>
      </c>
    </row>
    <row r="27" spans="1:13" ht="15.75">
      <c r="A27" s="48"/>
      <c r="B27" s="9" t="s">
        <v>2</v>
      </c>
      <c r="C27" s="28">
        <f>C19+C20+C21+C22+C23+C24+C25+C26</f>
        <v>39624.634</v>
      </c>
      <c r="D27" s="28">
        <f>D19+D20+D21+D22+D23+D24+D25+D26</f>
        <v>23415.865999999998</v>
      </c>
      <c r="E27" s="28">
        <f>E19+E20+E21+E22+E23+E24+E25+E26</f>
        <v>4339.3</v>
      </c>
      <c r="F27" s="28">
        <f>G27+J27</f>
        <v>558.9879999999999</v>
      </c>
      <c r="G27" s="28">
        <f aca="true" t="shared" si="2" ref="G27:L27">G19+G20+G21+G22+G23+G24+G25+G26</f>
        <v>41.3</v>
      </c>
      <c r="H27" s="28">
        <f t="shared" si="2"/>
        <v>0</v>
      </c>
      <c r="I27" s="28">
        <f t="shared" si="2"/>
        <v>0</v>
      </c>
      <c r="J27" s="28">
        <f>J19+J20+J21+J22+J23+J24+J25+J26</f>
        <v>517.688</v>
      </c>
      <c r="K27" s="28">
        <f>K19+K20+K21+K22+K23+K24+K25+K26</f>
        <v>517.688</v>
      </c>
      <c r="L27" s="28">
        <f t="shared" si="2"/>
        <v>510.688</v>
      </c>
      <c r="M27" s="28">
        <f t="shared" si="1"/>
        <v>40183.621999999996</v>
      </c>
    </row>
    <row r="28" spans="1:13" ht="18.75">
      <c r="A28" s="59" t="s">
        <v>36</v>
      </c>
      <c r="B28" s="60" t="s">
        <v>37</v>
      </c>
      <c r="C28" s="25"/>
      <c r="D28" s="25"/>
      <c r="E28" s="25"/>
      <c r="F28" s="74"/>
      <c r="G28" s="25"/>
      <c r="H28" s="25"/>
      <c r="I28" s="25"/>
      <c r="J28" s="25"/>
      <c r="K28" s="25"/>
      <c r="L28" s="25"/>
      <c r="M28" s="25">
        <f t="shared" si="1"/>
        <v>0</v>
      </c>
    </row>
    <row r="29" spans="1:13" ht="15.75">
      <c r="A29" s="45" t="s">
        <v>38</v>
      </c>
      <c r="B29" s="32" t="s">
        <v>157</v>
      </c>
      <c r="C29" s="25">
        <f>14127.4+20+284.2+41.025</f>
        <v>14472.625</v>
      </c>
      <c r="D29" s="25">
        <f>7362.6+145.5</f>
        <v>7508.1</v>
      </c>
      <c r="E29" s="25">
        <v>1378.4</v>
      </c>
      <c r="F29" s="25">
        <f>G29+J29</f>
        <v>368</v>
      </c>
      <c r="G29" s="25">
        <v>350</v>
      </c>
      <c r="H29" s="25">
        <v>100</v>
      </c>
      <c r="I29" s="25">
        <v>6</v>
      </c>
      <c r="J29" s="25">
        <v>18</v>
      </c>
      <c r="K29" s="25">
        <v>18</v>
      </c>
      <c r="L29" s="25">
        <v>18</v>
      </c>
      <c r="M29" s="25">
        <f t="shared" si="1"/>
        <v>14840.625</v>
      </c>
    </row>
    <row r="30" spans="1:13" ht="31.5">
      <c r="A30" s="47" t="s">
        <v>148</v>
      </c>
      <c r="B30" s="32" t="s">
        <v>155</v>
      </c>
      <c r="C30" s="25">
        <f>927.207+14.1</f>
        <v>941.307</v>
      </c>
      <c r="D30" s="25">
        <f>580.6+10</f>
        <v>590.6</v>
      </c>
      <c r="E30" s="25">
        <v>94.2</v>
      </c>
      <c r="F30" s="25"/>
      <c r="G30" s="25"/>
      <c r="H30" s="25"/>
      <c r="I30" s="25"/>
      <c r="J30" s="25"/>
      <c r="K30" s="25"/>
      <c r="L30" s="25"/>
      <c r="M30" s="25">
        <f t="shared" si="1"/>
        <v>941.307</v>
      </c>
    </row>
    <row r="31" spans="1:13" ht="15.75">
      <c r="A31" s="45" t="s">
        <v>149</v>
      </c>
      <c r="B31" s="32" t="s">
        <v>156</v>
      </c>
      <c r="C31" s="25">
        <f>888+13.6</f>
        <v>901.6</v>
      </c>
      <c r="D31" s="25">
        <f>532.4+10</f>
        <v>542.4</v>
      </c>
      <c r="E31" s="25">
        <v>99.1</v>
      </c>
      <c r="F31" s="25"/>
      <c r="G31" s="25"/>
      <c r="H31" s="25"/>
      <c r="I31" s="25"/>
      <c r="J31" s="25"/>
      <c r="K31" s="25"/>
      <c r="L31" s="25"/>
      <c r="M31" s="25">
        <f t="shared" si="1"/>
        <v>901.6</v>
      </c>
    </row>
    <row r="32" spans="1:13" ht="15.75">
      <c r="A32" s="44"/>
      <c r="B32" s="9" t="s">
        <v>2</v>
      </c>
      <c r="C32" s="28">
        <f>C29+C30+C31</f>
        <v>16315.532000000001</v>
      </c>
      <c r="D32" s="28">
        <f>D29+D30+D31</f>
        <v>8641.1</v>
      </c>
      <c r="E32" s="28">
        <f>E29+E30+E31</f>
        <v>1571.7</v>
      </c>
      <c r="F32" s="28">
        <f>G32+J32</f>
        <v>368</v>
      </c>
      <c r="G32" s="28">
        <f aca="true" t="shared" si="3" ref="G32:L32">G29+G30+G31</f>
        <v>350</v>
      </c>
      <c r="H32" s="28">
        <f t="shared" si="3"/>
        <v>100</v>
      </c>
      <c r="I32" s="28">
        <f t="shared" si="3"/>
        <v>6</v>
      </c>
      <c r="J32" s="28">
        <f t="shared" si="3"/>
        <v>18</v>
      </c>
      <c r="K32" s="28">
        <f t="shared" si="3"/>
        <v>18</v>
      </c>
      <c r="L32" s="28">
        <f t="shared" si="3"/>
        <v>18</v>
      </c>
      <c r="M32" s="28">
        <f t="shared" si="1"/>
        <v>16683.532</v>
      </c>
    </row>
    <row r="33" spans="1:13" s="19" customFormat="1" ht="18.75">
      <c r="A33" s="59" t="s">
        <v>33</v>
      </c>
      <c r="B33" s="61" t="s">
        <v>7</v>
      </c>
      <c r="C33" s="28"/>
      <c r="D33" s="28"/>
      <c r="E33" s="28"/>
      <c r="F33" s="25"/>
      <c r="G33" s="28"/>
      <c r="H33" s="28"/>
      <c r="I33" s="28"/>
      <c r="J33" s="28"/>
      <c r="K33" s="28"/>
      <c r="L33" s="28"/>
      <c r="M33" s="25"/>
    </row>
    <row r="34" spans="1:13" s="19" customFormat="1" ht="209.25" customHeight="1">
      <c r="A34" s="42" t="s">
        <v>59</v>
      </c>
      <c r="B34" s="18" t="s">
        <v>102</v>
      </c>
      <c r="C34" s="25">
        <f>2551.6-127.295-2.5</f>
        <v>2421.805</v>
      </c>
      <c r="D34" s="28"/>
      <c r="E34" s="28"/>
      <c r="F34" s="74"/>
      <c r="G34" s="28"/>
      <c r="H34" s="28"/>
      <c r="I34" s="28"/>
      <c r="J34" s="28"/>
      <c r="K34" s="28"/>
      <c r="L34" s="28"/>
      <c r="M34" s="25">
        <f t="shared" si="1"/>
        <v>2421.805</v>
      </c>
    </row>
    <row r="35" spans="1:13" s="19" customFormat="1" ht="189">
      <c r="A35" s="42" t="s">
        <v>60</v>
      </c>
      <c r="B35" s="18" t="s">
        <v>89</v>
      </c>
      <c r="C35" s="53">
        <f>138.8-15.6935</f>
        <v>123.10650000000001</v>
      </c>
      <c r="D35" s="28"/>
      <c r="E35" s="28"/>
      <c r="F35" s="74"/>
      <c r="G35" s="28"/>
      <c r="H35" s="28"/>
      <c r="I35" s="28"/>
      <c r="J35" s="28"/>
      <c r="K35" s="28"/>
      <c r="L35" s="28"/>
      <c r="M35" s="53">
        <f t="shared" si="1"/>
        <v>123.10650000000001</v>
      </c>
    </row>
    <row r="36" spans="1:13" s="19" customFormat="1" ht="189">
      <c r="A36" s="42" t="s">
        <v>61</v>
      </c>
      <c r="B36" s="18" t="s">
        <v>90</v>
      </c>
      <c r="C36" s="25">
        <f>36.5-4</f>
        <v>32.5</v>
      </c>
      <c r="D36" s="28"/>
      <c r="E36" s="28"/>
      <c r="F36" s="76">
        <f>G36+J36</f>
        <v>4</v>
      </c>
      <c r="G36" s="28"/>
      <c r="H36" s="28"/>
      <c r="I36" s="28"/>
      <c r="J36" s="25">
        <v>4</v>
      </c>
      <c r="K36" s="25">
        <v>4</v>
      </c>
      <c r="L36" s="25">
        <v>4</v>
      </c>
      <c r="M36" s="25">
        <f t="shared" si="1"/>
        <v>36.5</v>
      </c>
    </row>
    <row r="37" spans="1:13" s="19" customFormat="1" ht="299.25">
      <c r="A37" s="42" t="s">
        <v>62</v>
      </c>
      <c r="B37" s="18" t="s">
        <v>129</v>
      </c>
      <c r="C37" s="25">
        <v>120</v>
      </c>
      <c r="D37" s="28"/>
      <c r="E37" s="28"/>
      <c r="F37" s="74"/>
      <c r="G37" s="28"/>
      <c r="H37" s="28"/>
      <c r="I37" s="28"/>
      <c r="J37" s="28"/>
      <c r="K37" s="28"/>
      <c r="L37" s="28"/>
      <c r="M37" s="25">
        <f t="shared" si="1"/>
        <v>120</v>
      </c>
    </row>
    <row r="38" spans="1:13" s="19" customFormat="1" ht="252">
      <c r="A38" s="42"/>
      <c r="B38" s="40" t="s">
        <v>130</v>
      </c>
      <c r="C38" s="25"/>
      <c r="D38" s="28"/>
      <c r="E38" s="28"/>
      <c r="F38" s="74"/>
      <c r="G38" s="28"/>
      <c r="H38" s="28"/>
      <c r="I38" s="28"/>
      <c r="J38" s="28"/>
      <c r="K38" s="28"/>
      <c r="L38" s="28"/>
      <c r="M38" s="25">
        <f t="shared" si="1"/>
        <v>0</v>
      </c>
    </row>
    <row r="39" spans="1:13" s="19" customFormat="1" ht="299.25">
      <c r="A39" s="42" t="s">
        <v>63</v>
      </c>
      <c r="B39" s="30" t="s">
        <v>132</v>
      </c>
      <c r="C39" s="25">
        <f>1.374+0.222</f>
        <v>1.596</v>
      </c>
      <c r="D39" s="28"/>
      <c r="E39" s="28"/>
      <c r="F39" s="74"/>
      <c r="G39" s="28"/>
      <c r="H39" s="28"/>
      <c r="I39" s="28"/>
      <c r="J39" s="28"/>
      <c r="K39" s="28"/>
      <c r="L39" s="28"/>
      <c r="M39" s="25">
        <f t="shared" si="1"/>
        <v>1.596</v>
      </c>
    </row>
    <row r="40" spans="1:13" s="19" customFormat="1" ht="51" customHeight="1">
      <c r="A40" s="42"/>
      <c r="B40" s="30" t="s">
        <v>131</v>
      </c>
      <c r="C40" s="25"/>
      <c r="D40" s="28"/>
      <c r="E40" s="28"/>
      <c r="F40" s="74"/>
      <c r="G40" s="28"/>
      <c r="H40" s="28"/>
      <c r="I40" s="28"/>
      <c r="J40" s="28"/>
      <c r="K40" s="28"/>
      <c r="L40" s="28"/>
      <c r="M40" s="25">
        <f t="shared" si="1"/>
        <v>0</v>
      </c>
    </row>
    <row r="41" spans="1:13" s="19" customFormat="1" ht="94.5">
      <c r="A41" s="42" t="s">
        <v>64</v>
      </c>
      <c r="B41" s="18" t="s">
        <v>104</v>
      </c>
      <c r="C41" s="25">
        <v>35</v>
      </c>
      <c r="D41" s="28"/>
      <c r="E41" s="28"/>
      <c r="F41" s="74"/>
      <c r="G41" s="28"/>
      <c r="H41" s="28"/>
      <c r="I41" s="28"/>
      <c r="J41" s="28"/>
      <c r="K41" s="28"/>
      <c r="L41" s="28"/>
      <c r="M41" s="25">
        <f t="shared" si="1"/>
        <v>35</v>
      </c>
    </row>
    <row r="42" spans="1:13" s="19" customFormat="1" ht="94.5">
      <c r="A42" s="42" t="s">
        <v>65</v>
      </c>
      <c r="B42" s="18" t="s">
        <v>105</v>
      </c>
      <c r="C42" s="25">
        <f>1.718-0.222</f>
        <v>1.496</v>
      </c>
      <c r="D42" s="28"/>
      <c r="E42" s="28"/>
      <c r="F42" s="74"/>
      <c r="G42" s="28"/>
      <c r="H42" s="28"/>
      <c r="I42" s="28"/>
      <c r="J42" s="28"/>
      <c r="K42" s="28"/>
      <c r="L42" s="28"/>
      <c r="M42" s="25">
        <f t="shared" si="1"/>
        <v>1.496</v>
      </c>
    </row>
    <row r="43" spans="1:13" s="19" customFormat="1" ht="78.75">
      <c r="A43" s="42" t="s">
        <v>66</v>
      </c>
      <c r="B43" s="18" t="s">
        <v>106</v>
      </c>
      <c r="C43" s="25">
        <v>1.5</v>
      </c>
      <c r="D43" s="28"/>
      <c r="E43" s="28"/>
      <c r="F43" s="74"/>
      <c r="G43" s="28"/>
      <c r="H43" s="28"/>
      <c r="I43" s="28"/>
      <c r="J43" s="28"/>
      <c r="K43" s="28"/>
      <c r="L43" s="28"/>
      <c r="M43" s="25">
        <f t="shared" si="1"/>
        <v>1.5</v>
      </c>
    </row>
    <row r="44" spans="1:13" s="19" customFormat="1" ht="173.25">
      <c r="A44" s="42" t="s">
        <v>67</v>
      </c>
      <c r="B44" s="18" t="s">
        <v>117</v>
      </c>
      <c r="C44" s="25">
        <v>250</v>
      </c>
      <c r="D44" s="28"/>
      <c r="E44" s="28"/>
      <c r="F44" s="74"/>
      <c r="G44" s="28"/>
      <c r="H44" s="28"/>
      <c r="I44" s="28"/>
      <c r="J44" s="28"/>
      <c r="K44" s="28"/>
      <c r="L44" s="28"/>
      <c r="M44" s="25">
        <f t="shared" si="1"/>
        <v>250</v>
      </c>
    </row>
    <row r="45" spans="1:13" s="19" customFormat="1" ht="173.25">
      <c r="A45" s="42" t="s">
        <v>68</v>
      </c>
      <c r="B45" s="18" t="s">
        <v>118</v>
      </c>
      <c r="C45" s="25">
        <v>44.708</v>
      </c>
      <c r="D45" s="28"/>
      <c r="E45" s="28"/>
      <c r="F45" s="74"/>
      <c r="G45" s="28"/>
      <c r="H45" s="28"/>
      <c r="I45" s="28"/>
      <c r="J45" s="28"/>
      <c r="K45" s="28"/>
      <c r="L45" s="28"/>
      <c r="M45" s="25">
        <f t="shared" si="1"/>
        <v>44.708</v>
      </c>
    </row>
    <row r="46" spans="1:13" s="19" customFormat="1" ht="47.25">
      <c r="A46" s="42" t="s">
        <v>69</v>
      </c>
      <c r="B46" s="18" t="s">
        <v>91</v>
      </c>
      <c r="C46" s="25">
        <v>35.9</v>
      </c>
      <c r="D46" s="28"/>
      <c r="E46" s="28"/>
      <c r="F46" s="74"/>
      <c r="G46" s="28"/>
      <c r="H46" s="28"/>
      <c r="I46" s="28"/>
      <c r="J46" s="28"/>
      <c r="K46" s="28"/>
      <c r="L46" s="28"/>
      <c r="M46" s="25">
        <f t="shared" si="1"/>
        <v>35.9</v>
      </c>
    </row>
    <row r="47" spans="1:13" s="19" customFormat="1" ht="31.5">
      <c r="A47" s="42" t="s">
        <v>70</v>
      </c>
      <c r="B47" s="18" t="s">
        <v>92</v>
      </c>
      <c r="C47" s="25">
        <v>112.9</v>
      </c>
      <c r="D47" s="28"/>
      <c r="E47" s="28"/>
      <c r="F47" s="74"/>
      <c r="G47" s="28"/>
      <c r="H47" s="28"/>
      <c r="I47" s="28"/>
      <c r="J47" s="28"/>
      <c r="K47" s="28"/>
      <c r="L47" s="28"/>
      <c r="M47" s="25">
        <f t="shared" si="1"/>
        <v>112.9</v>
      </c>
    </row>
    <row r="48" spans="1:13" s="19" customFormat="1" ht="31.5">
      <c r="A48" s="42" t="s">
        <v>134</v>
      </c>
      <c r="B48" s="18" t="s">
        <v>125</v>
      </c>
      <c r="C48" s="25">
        <f>300+50</f>
        <v>350</v>
      </c>
      <c r="D48" s="28"/>
      <c r="E48" s="28"/>
      <c r="F48" s="74"/>
      <c r="G48" s="28"/>
      <c r="H48" s="28"/>
      <c r="I48" s="28"/>
      <c r="J48" s="28"/>
      <c r="K48" s="28"/>
      <c r="L48" s="28"/>
      <c r="M48" s="25">
        <f t="shared" si="1"/>
        <v>350</v>
      </c>
    </row>
    <row r="49" spans="1:13" s="19" customFormat="1" ht="47.25">
      <c r="A49" s="42" t="s">
        <v>135</v>
      </c>
      <c r="B49" s="18" t="s">
        <v>141</v>
      </c>
      <c r="C49" s="25">
        <f>52.7-1.504</f>
        <v>51.196000000000005</v>
      </c>
      <c r="D49" s="28"/>
      <c r="E49" s="28"/>
      <c r="F49" s="74"/>
      <c r="G49" s="28"/>
      <c r="H49" s="28"/>
      <c r="I49" s="28"/>
      <c r="J49" s="28"/>
      <c r="K49" s="28"/>
      <c r="L49" s="28"/>
      <c r="M49" s="25">
        <f t="shared" si="1"/>
        <v>51.196000000000005</v>
      </c>
    </row>
    <row r="50" spans="1:13" s="19" customFormat="1" ht="31.5">
      <c r="A50" s="42" t="s">
        <v>71</v>
      </c>
      <c r="B50" s="18" t="s">
        <v>93</v>
      </c>
      <c r="C50" s="25">
        <v>438.7</v>
      </c>
      <c r="D50" s="28"/>
      <c r="E50" s="28"/>
      <c r="F50" s="74"/>
      <c r="G50" s="28"/>
      <c r="H50" s="28"/>
      <c r="I50" s="28"/>
      <c r="J50" s="28"/>
      <c r="K50" s="28"/>
      <c r="L50" s="28"/>
      <c r="M50" s="25">
        <f t="shared" si="1"/>
        <v>438.7</v>
      </c>
    </row>
    <row r="51" spans="1:13" s="19" customFormat="1" ht="31.5">
      <c r="A51" s="42" t="s">
        <v>72</v>
      </c>
      <c r="B51" s="18" t="s">
        <v>94</v>
      </c>
      <c r="C51" s="25">
        <v>5102.8</v>
      </c>
      <c r="D51" s="28"/>
      <c r="E51" s="28"/>
      <c r="F51" s="74"/>
      <c r="G51" s="28"/>
      <c r="H51" s="28"/>
      <c r="I51" s="28"/>
      <c r="J51" s="28"/>
      <c r="K51" s="28"/>
      <c r="L51" s="28"/>
      <c r="M51" s="25">
        <f t="shared" si="1"/>
        <v>5102.8</v>
      </c>
    </row>
    <row r="52" spans="1:13" s="19" customFormat="1" ht="31.5">
      <c r="A52" s="42" t="s">
        <v>73</v>
      </c>
      <c r="B52" s="18" t="s">
        <v>142</v>
      </c>
      <c r="C52" s="25">
        <v>13390.9</v>
      </c>
      <c r="D52" s="28"/>
      <c r="E52" s="28"/>
      <c r="F52" s="74"/>
      <c r="G52" s="28"/>
      <c r="H52" s="28"/>
      <c r="I52" s="28"/>
      <c r="J52" s="28"/>
      <c r="K52" s="28"/>
      <c r="L52" s="28"/>
      <c r="M52" s="25">
        <f t="shared" si="1"/>
        <v>13390.9</v>
      </c>
    </row>
    <row r="53" spans="1:13" s="19" customFormat="1" ht="31.5">
      <c r="A53" s="42" t="s">
        <v>74</v>
      </c>
      <c r="B53" s="30" t="s">
        <v>119</v>
      </c>
      <c r="C53" s="25">
        <f>2157.5-192.4</f>
        <v>1965.1</v>
      </c>
      <c r="D53" s="28"/>
      <c r="E53" s="28"/>
      <c r="F53" s="74"/>
      <c r="G53" s="28"/>
      <c r="H53" s="28"/>
      <c r="I53" s="28"/>
      <c r="J53" s="28"/>
      <c r="K53" s="28"/>
      <c r="L53" s="28"/>
      <c r="M53" s="25">
        <f t="shared" si="1"/>
        <v>1965.1</v>
      </c>
    </row>
    <row r="54" spans="1:13" s="19" customFormat="1" ht="31.5">
      <c r="A54" s="42" t="s">
        <v>75</v>
      </c>
      <c r="B54" s="18" t="s">
        <v>95</v>
      </c>
      <c r="C54" s="25">
        <v>3758.3</v>
      </c>
      <c r="D54" s="28"/>
      <c r="E54" s="28"/>
      <c r="F54" s="74"/>
      <c r="G54" s="28"/>
      <c r="H54" s="28"/>
      <c r="I54" s="28"/>
      <c r="J54" s="28"/>
      <c r="K54" s="28"/>
      <c r="L54" s="28"/>
      <c r="M54" s="25">
        <f t="shared" si="1"/>
        <v>3758.3</v>
      </c>
    </row>
    <row r="55" spans="1:13" s="19" customFormat="1" ht="31.5">
      <c r="A55" s="42" t="s">
        <v>76</v>
      </c>
      <c r="B55" s="18" t="s">
        <v>96</v>
      </c>
      <c r="C55" s="25">
        <f>333.5+185.4</f>
        <v>518.9</v>
      </c>
      <c r="D55" s="28"/>
      <c r="E55" s="28"/>
      <c r="F55" s="74"/>
      <c r="G55" s="28"/>
      <c r="H55" s="28"/>
      <c r="I55" s="28"/>
      <c r="J55" s="28"/>
      <c r="K55" s="28"/>
      <c r="L55" s="28"/>
      <c r="M55" s="25">
        <f t="shared" si="1"/>
        <v>518.9</v>
      </c>
    </row>
    <row r="56" spans="1:13" s="19" customFormat="1" ht="31.5">
      <c r="A56" s="42" t="s">
        <v>123</v>
      </c>
      <c r="B56" s="18" t="s">
        <v>124</v>
      </c>
      <c r="C56" s="25">
        <f>44.7+7</f>
        <v>51.7</v>
      </c>
      <c r="D56" s="28"/>
      <c r="E56" s="28"/>
      <c r="F56" s="74"/>
      <c r="G56" s="28"/>
      <c r="H56" s="28"/>
      <c r="I56" s="28"/>
      <c r="J56" s="28"/>
      <c r="K56" s="28"/>
      <c r="L56" s="28"/>
      <c r="M56" s="25">
        <f t="shared" si="1"/>
        <v>51.7</v>
      </c>
    </row>
    <row r="57" spans="1:13" s="19" customFormat="1" ht="31.5">
      <c r="A57" s="42" t="s">
        <v>77</v>
      </c>
      <c r="B57" s="18" t="s">
        <v>97</v>
      </c>
      <c r="C57" s="25">
        <v>1709.7</v>
      </c>
      <c r="D57" s="28"/>
      <c r="E57" s="28"/>
      <c r="F57" s="74"/>
      <c r="G57" s="28"/>
      <c r="H57" s="28"/>
      <c r="I57" s="28"/>
      <c r="J57" s="28"/>
      <c r="K57" s="28"/>
      <c r="L57" s="28"/>
      <c r="M57" s="25">
        <f t="shared" si="1"/>
        <v>1709.7</v>
      </c>
    </row>
    <row r="58" spans="1:13" s="19" customFormat="1" ht="47.25">
      <c r="A58" s="42" t="s">
        <v>78</v>
      </c>
      <c r="B58" s="18" t="s">
        <v>126</v>
      </c>
      <c r="C58" s="25">
        <f>216.9+77.295+2.5</f>
        <v>296.695</v>
      </c>
      <c r="D58" s="28"/>
      <c r="E58" s="28"/>
      <c r="F58" s="74"/>
      <c r="G58" s="28"/>
      <c r="H58" s="28"/>
      <c r="I58" s="28"/>
      <c r="J58" s="28"/>
      <c r="K58" s="28"/>
      <c r="L58" s="28"/>
      <c r="M58" s="25">
        <f t="shared" si="1"/>
        <v>296.695</v>
      </c>
    </row>
    <row r="59" spans="1:13" s="19" customFormat="1" ht="63">
      <c r="A59" s="42" t="s">
        <v>116</v>
      </c>
      <c r="B59" s="18" t="s">
        <v>127</v>
      </c>
      <c r="C59" s="53">
        <f>153.2+17.1975+23.1</f>
        <v>193.49749999999997</v>
      </c>
      <c r="D59" s="28"/>
      <c r="E59" s="28"/>
      <c r="F59" s="74"/>
      <c r="G59" s="28"/>
      <c r="H59" s="28"/>
      <c r="I59" s="28"/>
      <c r="J59" s="28"/>
      <c r="K59" s="28"/>
      <c r="L59" s="28"/>
      <c r="M59" s="53">
        <f t="shared" si="1"/>
        <v>193.49749999999997</v>
      </c>
    </row>
    <row r="60" spans="1:13" s="19" customFormat="1" ht="33.75" customHeight="1">
      <c r="A60" s="42" t="s">
        <v>168</v>
      </c>
      <c r="B60" s="18" t="s">
        <v>185</v>
      </c>
      <c r="C60" s="25">
        <f>18.6</f>
        <v>18.6</v>
      </c>
      <c r="D60" s="28"/>
      <c r="E60" s="28"/>
      <c r="F60" s="74"/>
      <c r="G60" s="28"/>
      <c r="H60" s="28"/>
      <c r="I60" s="28"/>
      <c r="J60" s="28"/>
      <c r="K60" s="28"/>
      <c r="L60" s="28"/>
      <c r="M60" s="25">
        <f t="shared" si="1"/>
        <v>18.6</v>
      </c>
    </row>
    <row r="61" spans="1:13" s="19" customFormat="1" ht="15.75">
      <c r="A61" s="42" t="s">
        <v>79</v>
      </c>
      <c r="B61" s="18" t="s">
        <v>80</v>
      </c>
      <c r="C61" s="25">
        <f>406.5-155.5-150+0.2</f>
        <v>101.2</v>
      </c>
      <c r="D61" s="28"/>
      <c r="E61" s="28"/>
      <c r="F61" s="74"/>
      <c r="G61" s="28"/>
      <c r="H61" s="28"/>
      <c r="I61" s="28"/>
      <c r="J61" s="28"/>
      <c r="K61" s="28"/>
      <c r="L61" s="28"/>
      <c r="M61" s="25">
        <f t="shared" si="1"/>
        <v>101.2</v>
      </c>
    </row>
    <row r="62" spans="1:13" s="19" customFormat="1" ht="15.75">
      <c r="A62" s="42" t="s">
        <v>120</v>
      </c>
      <c r="B62" s="34" t="s">
        <v>121</v>
      </c>
      <c r="C62" s="25">
        <f>42+47-0.2</f>
        <v>88.8</v>
      </c>
      <c r="D62" s="28"/>
      <c r="E62" s="28"/>
      <c r="F62" s="74"/>
      <c r="G62" s="28"/>
      <c r="H62" s="28"/>
      <c r="I62" s="28"/>
      <c r="J62" s="28"/>
      <c r="K62" s="28"/>
      <c r="L62" s="28"/>
      <c r="M62" s="25">
        <f t="shared" si="1"/>
        <v>88.8</v>
      </c>
    </row>
    <row r="63" spans="1:13" s="19" customFormat="1" ht="31.5">
      <c r="A63" s="42" t="s">
        <v>81</v>
      </c>
      <c r="B63" s="10" t="s">
        <v>133</v>
      </c>
      <c r="C63" s="25">
        <v>13.5</v>
      </c>
      <c r="D63" s="28"/>
      <c r="E63" s="28"/>
      <c r="F63" s="74"/>
      <c r="G63" s="28"/>
      <c r="H63" s="28"/>
      <c r="I63" s="28"/>
      <c r="J63" s="28"/>
      <c r="K63" s="28"/>
      <c r="L63" s="28"/>
      <c r="M63" s="25">
        <f t="shared" si="1"/>
        <v>13.5</v>
      </c>
    </row>
    <row r="64" spans="1:13" s="19" customFormat="1" ht="47.25">
      <c r="A64" s="42" t="s">
        <v>82</v>
      </c>
      <c r="B64" s="18" t="s">
        <v>98</v>
      </c>
      <c r="C64" s="25">
        <f>5.8-1</f>
        <v>4.8</v>
      </c>
      <c r="D64" s="28"/>
      <c r="E64" s="28"/>
      <c r="F64" s="74"/>
      <c r="G64" s="28"/>
      <c r="H64" s="28"/>
      <c r="I64" s="28"/>
      <c r="J64" s="28"/>
      <c r="K64" s="28"/>
      <c r="L64" s="28"/>
      <c r="M64" s="25">
        <f t="shared" si="1"/>
        <v>4.8</v>
      </c>
    </row>
    <row r="65" spans="1:13" s="19" customFormat="1" ht="35.25" customHeight="1">
      <c r="A65" s="42" t="s">
        <v>83</v>
      </c>
      <c r="B65" s="18" t="s">
        <v>184</v>
      </c>
      <c r="C65" s="25">
        <f>2913.788+40.4+78.1</f>
        <v>3032.288</v>
      </c>
      <c r="D65" s="25">
        <f>1789.842+57.3</f>
        <v>1847.142</v>
      </c>
      <c r="E65" s="25">
        <v>116.85</v>
      </c>
      <c r="F65" s="25">
        <f>G65+J65</f>
        <v>110</v>
      </c>
      <c r="G65" s="25">
        <v>110</v>
      </c>
      <c r="H65" s="25">
        <v>7</v>
      </c>
      <c r="I65" s="25"/>
      <c r="J65" s="25"/>
      <c r="K65" s="25"/>
      <c r="L65" s="25"/>
      <c r="M65" s="25">
        <f t="shared" si="1"/>
        <v>3142.288</v>
      </c>
    </row>
    <row r="66" spans="1:13" s="19" customFormat="1" ht="63">
      <c r="A66" s="42" t="s">
        <v>169</v>
      </c>
      <c r="B66" s="18" t="s">
        <v>170</v>
      </c>
      <c r="C66" s="25">
        <f>150</f>
        <v>150</v>
      </c>
      <c r="D66" s="25"/>
      <c r="E66" s="25"/>
      <c r="F66" s="25"/>
      <c r="G66" s="25"/>
      <c r="H66" s="25"/>
      <c r="I66" s="25"/>
      <c r="J66" s="25"/>
      <c r="K66" s="25"/>
      <c r="L66" s="25"/>
      <c r="M66" s="25">
        <f t="shared" si="1"/>
        <v>150</v>
      </c>
    </row>
    <row r="67" spans="1:13" s="19" customFormat="1" ht="76.5" customHeight="1">
      <c r="A67" s="42" t="s">
        <v>171</v>
      </c>
      <c r="B67" s="18" t="s">
        <v>186</v>
      </c>
      <c r="C67" s="25">
        <f>136.9</f>
        <v>136.9</v>
      </c>
      <c r="D67" s="25"/>
      <c r="E67" s="25"/>
      <c r="F67" s="25"/>
      <c r="G67" s="25"/>
      <c r="H67" s="25"/>
      <c r="I67" s="25"/>
      <c r="J67" s="25"/>
      <c r="K67" s="25"/>
      <c r="L67" s="25"/>
      <c r="M67" s="25">
        <f t="shared" si="1"/>
        <v>136.9</v>
      </c>
    </row>
    <row r="68" spans="1:13" s="19" customFormat="1" ht="31.5">
      <c r="A68" s="42" t="s">
        <v>88</v>
      </c>
      <c r="B68" s="18" t="s">
        <v>172</v>
      </c>
      <c r="C68" s="25">
        <v>37.512</v>
      </c>
      <c r="D68" s="28"/>
      <c r="E68" s="28"/>
      <c r="F68" s="74"/>
      <c r="G68" s="28"/>
      <c r="H68" s="28"/>
      <c r="I68" s="28"/>
      <c r="J68" s="28"/>
      <c r="K68" s="28"/>
      <c r="L68" s="28"/>
      <c r="M68" s="25">
        <f t="shared" si="1"/>
        <v>37.512</v>
      </c>
    </row>
    <row r="69" spans="1:13" s="19" customFormat="1" ht="47.25">
      <c r="A69" s="42" t="s">
        <v>84</v>
      </c>
      <c r="B69" s="18" t="s">
        <v>99</v>
      </c>
      <c r="C69" s="25">
        <v>4181.3</v>
      </c>
      <c r="D69" s="28"/>
      <c r="E69" s="28"/>
      <c r="F69" s="74"/>
      <c r="G69" s="28"/>
      <c r="H69" s="28"/>
      <c r="I69" s="28"/>
      <c r="J69" s="28"/>
      <c r="K69" s="28"/>
      <c r="L69" s="28"/>
      <c r="M69" s="25">
        <f t="shared" si="1"/>
        <v>4181.3</v>
      </c>
    </row>
    <row r="70" spans="1:13" s="19" customFormat="1" ht="57" customHeight="1">
      <c r="A70" s="42" t="s">
        <v>112</v>
      </c>
      <c r="B70" s="30" t="s">
        <v>113</v>
      </c>
      <c r="C70" s="25">
        <v>8.5</v>
      </c>
      <c r="D70" s="28"/>
      <c r="E70" s="28"/>
      <c r="F70" s="74"/>
      <c r="G70" s="28"/>
      <c r="H70" s="28"/>
      <c r="I70" s="28"/>
      <c r="J70" s="28"/>
      <c r="K70" s="28"/>
      <c r="L70" s="28"/>
      <c r="M70" s="25">
        <f t="shared" si="1"/>
        <v>8.5</v>
      </c>
    </row>
    <row r="71" spans="1:13" s="19" customFormat="1" ht="31.5">
      <c r="A71" s="42" t="s">
        <v>85</v>
      </c>
      <c r="B71" s="18" t="s">
        <v>100</v>
      </c>
      <c r="C71" s="25">
        <v>0.9</v>
      </c>
      <c r="D71" s="28"/>
      <c r="E71" s="28"/>
      <c r="F71" s="74"/>
      <c r="G71" s="28"/>
      <c r="H71" s="28"/>
      <c r="I71" s="28"/>
      <c r="J71" s="28"/>
      <c r="K71" s="28"/>
      <c r="L71" s="28"/>
      <c r="M71" s="25">
        <f t="shared" si="1"/>
        <v>0.9</v>
      </c>
    </row>
    <row r="72" spans="1:13" s="19" customFormat="1" ht="15.75">
      <c r="A72" s="45" t="s">
        <v>39</v>
      </c>
      <c r="B72" s="32" t="s">
        <v>40</v>
      </c>
      <c r="C72" s="25">
        <v>93.9</v>
      </c>
      <c r="D72" s="25">
        <v>64.497</v>
      </c>
      <c r="E72" s="25">
        <v>1.7</v>
      </c>
      <c r="F72" s="74"/>
      <c r="G72" s="29"/>
      <c r="H72" s="29"/>
      <c r="I72" s="29"/>
      <c r="J72" s="29"/>
      <c r="K72" s="29"/>
      <c r="L72" s="29"/>
      <c r="M72" s="25">
        <f t="shared" si="1"/>
        <v>93.9</v>
      </c>
    </row>
    <row r="73" spans="1:13" s="19" customFormat="1" ht="15.75">
      <c r="A73" s="45"/>
      <c r="B73" s="32" t="s">
        <v>41</v>
      </c>
      <c r="C73" s="25"/>
      <c r="D73" s="25"/>
      <c r="E73" s="25"/>
      <c r="F73" s="25" t="s">
        <v>103</v>
      </c>
      <c r="G73" s="29"/>
      <c r="H73" s="29"/>
      <c r="I73" s="29"/>
      <c r="J73" s="29"/>
      <c r="K73" s="29"/>
      <c r="L73" s="29"/>
      <c r="M73" s="25" t="s">
        <v>103</v>
      </c>
    </row>
    <row r="74" spans="1:13" s="19" customFormat="1" ht="31.5">
      <c r="A74" s="46" t="s">
        <v>114</v>
      </c>
      <c r="B74" s="32" t="s">
        <v>115</v>
      </c>
      <c r="C74" s="25">
        <v>2.5</v>
      </c>
      <c r="D74" s="25"/>
      <c r="E74" s="25"/>
      <c r="F74" s="74"/>
      <c r="G74" s="29"/>
      <c r="H74" s="29"/>
      <c r="I74" s="29"/>
      <c r="J74" s="29"/>
      <c r="K74" s="29"/>
      <c r="L74" s="29"/>
      <c r="M74" s="25">
        <f t="shared" si="1"/>
        <v>2.5</v>
      </c>
    </row>
    <row r="75" spans="1:13" s="19" customFormat="1" ht="15.75">
      <c r="A75" s="45" t="s">
        <v>42</v>
      </c>
      <c r="B75" s="32" t="s">
        <v>43</v>
      </c>
      <c r="C75" s="25">
        <f>3+7</f>
        <v>10</v>
      </c>
      <c r="D75" s="25"/>
      <c r="E75" s="25"/>
      <c r="F75" s="74"/>
      <c r="G75" s="29"/>
      <c r="H75" s="29"/>
      <c r="I75" s="29"/>
      <c r="J75" s="29"/>
      <c r="K75" s="29"/>
      <c r="L75" s="29"/>
      <c r="M75" s="25">
        <f t="shared" si="1"/>
        <v>10</v>
      </c>
    </row>
    <row r="76" spans="1:13" s="19" customFormat="1" ht="15.75">
      <c r="A76" s="45"/>
      <c r="B76" s="32" t="s">
        <v>44</v>
      </c>
      <c r="C76" s="25"/>
      <c r="D76" s="25"/>
      <c r="E76" s="25"/>
      <c r="F76" s="74"/>
      <c r="G76" s="29"/>
      <c r="H76" s="29"/>
      <c r="I76" s="29"/>
      <c r="J76" s="29"/>
      <c r="K76" s="29"/>
      <c r="L76" s="29"/>
      <c r="M76" s="25" t="s">
        <v>103</v>
      </c>
    </row>
    <row r="77" spans="1:13" s="19" customFormat="1" ht="15.75">
      <c r="A77" s="45" t="s">
        <v>45</v>
      </c>
      <c r="B77" s="32" t="s">
        <v>107</v>
      </c>
      <c r="C77" s="25">
        <v>4</v>
      </c>
      <c r="D77" s="25"/>
      <c r="E77" s="25"/>
      <c r="F77" s="74"/>
      <c r="G77" s="29"/>
      <c r="H77" s="29"/>
      <c r="I77" s="29"/>
      <c r="J77" s="29"/>
      <c r="K77" s="29"/>
      <c r="L77" s="29"/>
      <c r="M77" s="25">
        <f t="shared" si="1"/>
        <v>4</v>
      </c>
    </row>
    <row r="78" spans="1:13" s="19" customFormat="1" ht="15.75">
      <c r="A78" s="45"/>
      <c r="B78" s="13" t="s">
        <v>8</v>
      </c>
      <c r="C78" s="28">
        <f>SUM(C34:C77)</f>
        <v>38892.700000000004</v>
      </c>
      <c r="D78" s="28">
        <f>SUM(D34:D77)</f>
        <v>1911.6390000000001</v>
      </c>
      <c r="E78" s="28">
        <f aca="true" t="shared" si="4" ref="E78:L78">SUM(E34:E77)</f>
        <v>118.55</v>
      </c>
      <c r="F78" s="28">
        <f>G78+J78</f>
        <v>114</v>
      </c>
      <c r="G78" s="28">
        <f t="shared" si="4"/>
        <v>110</v>
      </c>
      <c r="H78" s="28">
        <f t="shared" si="4"/>
        <v>7</v>
      </c>
      <c r="I78" s="28">
        <f t="shared" si="4"/>
        <v>0</v>
      </c>
      <c r="J78" s="28">
        <f t="shared" si="4"/>
        <v>4</v>
      </c>
      <c r="K78" s="28">
        <f t="shared" si="4"/>
        <v>4</v>
      </c>
      <c r="L78" s="28">
        <f t="shared" si="4"/>
        <v>4</v>
      </c>
      <c r="M78" s="28">
        <f t="shared" si="1"/>
        <v>39006.700000000004</v>
      </c>
    </row>
    <row r="79" spans="1:13" s="19" customFormat="1" ht="15.75">
      <c r="A79" s="48" t="s">
        <v>11</v>
      </c>
      <c r="B79" s="9" t="s">
        <v>10</v>
      </c>
      <c r="C79" s="25"/>
      <c r="D79" s="25"/>
      <c r="E79" s="25"/>
      <c r="F79" s="74"/>
      <c r="G79" s="29"/>
      <c r="H79" s="29"/>
      <c r="I79" s="29"/>
      <c r="J79" s="29"/>
      <c r="K79" s="29"/>
      <c r="L79" s="29"/>
      <c r="M79" s="25"/>
    </row>
    <row r="80" spans="1:13" s="19" customFormat="1" ht="15.75">
      <c r="A80" s="41" t="s">
        <v>19</v>
      </c>
      <c r="B80" s="10" t="s">
        <v>12</v>
      </c>
      <c r="C80" s="25">
        <f>1296.515+10.594+27.2</f>
        <v>1334.3090000000002</v>
      </c>
      <c r="D80" s="25">
        <f>910.3+14.085</f>
        <v>924.385</v>
      </c>
      <c r="E80" s="25">
        <f>41.62+3+8+4</f>
        <v>56.62</v>
      </c>
      <c r="F80" s="25">
        <f>SUM(G80,J80)</f>
        <v>4.5</v>
      </c>
      <c r="G80" s="25">
        <v>0.7</v>
      </c>
      <c r="H80" s="25"/>
      <c r="I80" s="25"/>
      <c r="J80" s="25">
        <f>1.3+2.5</f>
        <v>3.8</v>
      </c>
      <c r="K80" s="20">
        <v>2.5</v>
      </c>
      <c r="L80" s="25">
        <v>2.5</v>
      </c>
      <c r="M80" s="25">
        <f aca="true" t="shared" si="5" ref="M80:M86">F80+C80</f>
        <v>1338.8090000000002</v>
      </c>
    </row>
    <row r="81" spans="1:13" s="19" customFormat="1" ht="15.75">
      <c r="A81" s="41" t="s">
        <v>20</v>
      </c>
      <c r="B81" s="10" t="s">
        <v>13</v>
      </c>
      <c r="C81" s="25">
        <f>267.785+4.7+3</f>
        <v>275.485</v>
      </c>
      <c r="D81" s="25">
        <f>175.66+3.45</f>
        <v>179.10999999999999</v>
      </c>
      <c r="E81" s="25">
        <f>26.7+3</f>
        <v>29.7</v>
      </c>
      <c r="F81" s="25"/>
      <c r="G81" s="25"/>
      <c r="H81" s="25"/>
      <c r="I81" s="25"/>
      <c r="J81" s="25"/>
      <c r="K81" s="29"/>
      <c r="L81" s="29"/>
      <c r="M81" s="25">
        <f t="shared" si="5"/>
        <v>275.485</v>
      </c>
    </row>
    <row r="82" spans="1:13" s="19" customFormat="1" ht="31.5">
      <c r="A82" s="42" t="s">
        <v>23</v>
      </c>
      <c r="B82" s="18" t="s">
        <v>28</v>
      </c>
      <c r="C82" s="25">
        <f>557.205+13.6-2.5+1.725-1</f>
        <v>569.0300000000001</v>
      </c>
      <c r="D82" s="25">
        <f>344.915+8.145</f>
        <v>353.06</v>
      </c>
      <c r="E82" s="25">
        <f>78.49+6.975</f>
        <v>85.46499999999999</v>
      </c>
      <c r="F82" s="25">
        <f>SUM(G82,J82)</f>
        <v>15.8</v>
      </c>
      <c r="G82" s="25">
        <v>11.8</v>
      </c>
      <c r="H82" s="74"/>
      <c r="I82" s="25">
        <v>0.8</v>
      </c>
      <c r="J82" s="25">
        <v>4</v>
      </c>
      <c r="K82" s="25">
        <v>4</v>
      </c>
      <c r="L82" s="25">
        <v>4</v>
      </c>
      <c r="M82" s="25">
        <f t="shared" si="5"/>
        <v>584.83</v>
      </c>
    </row>
    <row r="83" spans="1:13" s="19" customFormat="1" ht="15.75">
      <c r="A83" s="42" t="s">
        <v>0</v>
      </c>
      <c r="B83" s="18" t="s">
        <v>1</v>
      </c>
      <c r="C83" s="25">
        <f>526.604+26</f>
        <v>552.604</v>
      </c>
      <c r="D83" s="25">
        <f>365+19.075</f>
        <v>384.075</v>
      </c>
      <c r="E83" s="25">
        <v>25.15</v>
      </c>
      <c r="F83" s="25">
        <f>SUM(G83,J83)</f>
        <v>41.25</v>
      </c>
      <c r="G83" s="25">
        <f>41.25-6.5</f>
        <v>34.75</v>
      </c>
      <c r="H83" s="25">
        <f>25.3-4.77</f>
        <v>20.53</v>
      </c>
      <c r="I83" s="25"/>
      <c r="J83" s="25">
        <v>6.5</v>
      </c>
      <c r="K83" s="29"/>
      <c r="L83" s="29"/>
      <c r="M83" s="25">
        <f t="shared" si="5"/>
        <v>593.854</v>
      </c>
    </row>
    <row r="84" spans="1:13" s="19" customFormat="1" ht="15.75">
      <c r="A84" s="41" t="s">
        <v>21</v>
      </c>
      <c r="B84" s="10" t="s">
        <v>14</v>
      </c>
      <c r="C84" s="25">
        <f>119+32.9+105.5-1.314-3-30</f>
        <v>223.08599999999996</v>
      </c>
      <c r="D84" s="25"/>
      <c r="E84" s="25"/>
      <c r="F84" s="25"/>
      <c r="G84" s="25"/>
      <c r="H84" s="25"/>
      <c r="I84" s="25"/>
      <c r="J84" s="25"/>
      <c r="K84" s="29"/>
      <c r="L84" s="29"/>
      <c r="M84" s="25">
        <f t="shared" si="5"/>
        <v>223.08599999999996</v>
      </c>
    </row>
    <row r="85" spans="1:13" s="19" customFormat="1" ht="15.75">
      <c r="A85" s="42" t="s">
        <v>24</v>
      </c>
      <c r="B85" s="18" t="s">
        <v>15</v>
      </c>
      <c r="C85" s="25">
        <f>196.04+5.6-4.725-3</f>
        <v>193.915</v>
      </c>
      <c r="D85" s="25">
        <f>127.76-2</f>
        <v>125.76</v>
      </c>
      <c r="E85" s="25">
        <f>12.505+0.5</f>
        <v>13.005</v>
      </c>
      <c r="F85" s="25">
        <f>SUM(G85,J85)</f>
        <v>1.75</v>
      </c>
      <c r="G85" s="25">
        <v>1.75</v>
      </c>
      <c r="H85" s="74"/>
      <c r="I85" s="25"/>
      <c r="J85" s="25"/>
      <c r="K85" s="29"/>
      <c r="L85" s="29"/>
      <c r="M85" s="25">
        <f t="shared" si="5"/>
        <v>195.665</v>
      </c>
    </row>
    <row r="86" spans="1:13" s="19" customFormat="1" ht="15.75">
      <c r="A86" s="42"/>
      <c r="B86" s="18"/>
      <c r="C86" s="25"/>
      <c r="D86" s="25"/>
      <c r="E86" s="25"/>
      <c r="F86" s="74"/>
      <c r="G86" s="29"/>
      <c r="H86" s="29"/>
      <c r="I86" s="29"/>
      <c r="J86" s="29"/>
      <c r="K86" s="29"/>
      <c r="L86" s="29"/>
      <c r="M86" s="25">
        <f t="shared" si="5"/>
        <v>0</v>
      </c>
    </row>
    <row r="87" spans="1:13" s="19" customFormat="1" ht="15.75">
      <c r="A87" s="42"/>
      <c r="B87" s="17" t="s">
        <v>8</v>
      </c>
      <c r="C87" s="28">
        <f>C84+C85+C80+C81+C82+C83</f>
        <v>3148.429</v>
      </c>
      <c r="D87" s="28">
        <f aca="true" t="shared" si="6" ref="D87:L87">D84+D85+D80+D81+D82+D83</f>
        <v>1966.3899999999999</v>
      </c>
      <c r="E87" s="28">
        <f t="shared" si="6"/>
        <v>209.94</v>
      </c>
      <c r="F87" s="28">
        <f>F84+F85+F80+F81+F82+F83</f>
        <v>63.3</v>
      </c>
      <c r="G87" s="28">
        <f t="shared" si="6"/>
        <v>49</v>
      </c>
      <c r="H87" s="28">
        <f t="shared" si="6"/>
        <v>20.53</v>
      </c>
      <c r="I87" s="28">
        <f t="shared" si="6"/>
        <v>0.8</v>
      </c>
      <c r="J87" s="28">
        <f t="shared" si="6"/>
        <v>14.3</v>
      </c>
      <c r="K87" s="28">
        <f t="shared" si="6"/>
        <v>6.5</v>
      </c>
      <c r="L87" s="28">
        <f t="shared" si="6"/>
        <v>6.5</v>
      </c>
      <c r="M87" s="28">
        <f>C87+F87</f>
        <v>3211.7290000000003</v>
      </c>
    </row>
    <row r="88" spans="1:13" s="19" customFormat="1" ht="18.75">
      <c r="A88" s="62">
        <v>120000</v>
      </c>
      <c r="B88" s="57" t="s">
        <v>150</v>
      </c>
      <c r="C88" s="25"/>
      <c r="D88" s="25"/>
      <c r="E88" s="25"/>
      <c r="F88" s="25"/>
      <c r="G88" s="29"/>
      <c r="H88" s="29"/>
      <c r="I88" s="29"/>
      <c r="J88" s="29"/>
      <c r="K88" s="74"/>
      <c r="L88" s="74"/>
      <c r="M88" s="25"/>
    </row>
    <row r="89" spans="1:13" s="19" customFormat="1" ht="15.75">
      <c r="A89" s="42" t="s">
        <v>18</v>
      </c>
      <c r="B89" s="18" t="s">
        <v>34</v>
      </c>
      <c r="C89" s="25"/>
      <c r="D89" s="25"/>
      <c r="E89" s="25"/>
      <c r="F89" s="25"/>
      <c r="G89" s="29"/>
      <c r="H89" s="29"/>
      <c r="I89" s="29"/>
      <c r="J89" s="29"/>
      <c r="K89" s="74"/>
      <c r="L89" s="74"/>
      <c r="M89" s="25"/>
    </row>
    <row r="90" spans="1:13" s="19" customFormat="1" ht="15.75">
      <c r="A90" s="42" t="s">
        <v>27</v>
      </c>
      <c r="B90" s="31" t="s">
        <v>25</v>
      </c>
      <c r="C90" s="25">
        <f>38+12.8+5.705+21.5</f>
        <v>78.005</v>
      </c>
      <c r="D90" s="25"/>
      <c r="E90" s="25"/>
      <c r="F90" s="74"/>
      <c r="G90" s="29"/>
      <c r="H90" s="29"/>
      <c r="I90" s="29"/>
      <c r="J90" s="29"/>
      <c r="K90" s="74"/>
      <c r="L90" s="74"/>
      <c r="M90" s="25">
        <f aca="true" t="shared" si="7" ref="M90:M130">C90+F90</f>
        <v>78.005</v>
      </c>
    </row>
    <row r="91" spans="1:13" s="19" customFormat="1" ht="15.75">
      <c r="A91" s="42" t="s">
        <v>35</v>
      </c>
      <c r="B91" s="31" t="s">
        <v>179</v>
      </c>
      <c r="C91" s="25">
        <f>36+6+30</f>
        <v>72</v>
      </c>
      <c r="D91" s="25"/>
      <c r="E91" s="25"/>
      <c r="F91" s="74"/>
      <c r="G91" s="29"/>
      <c r="H91" s="29"/>
      <c r="I91" s="29"/>
      <c r="J91" s="29"/>
      <c r="K91" s="74"/>
      <c r="L91" s="74"/>
      <c r="M91" s="25">
        <f t="shared" si="7"/>
        <v>72</v>
      </c>
    </row>
    <row r="92" spans="1:13" s="19" customFormat="1" ht="15.75">
      <c r="A92" s="43"/>
      <c r="B92" s="9" t="s">
        <v>2</v>
      </c>
      <c r="C92" s="28">
        <f>C89+C90+C91</f>
        <v>150.005</v>
      </c>
      <c r="D92" s="74"/>
      <c r="E92" s="74"/>
      <c r="F92" s="74"/>
      <c r="G92" s="74"/>
      <c r="H92" s="74"/>
      <c r="I92" s="74"/>
      <c r="J92" s="74"/>
      <c r="K92" s="74"/>
      <c r="L92" s="74"/>
      <c r="M92" s="28">
        <f t="shared" si="7"/>
        <v>150.005</v>
      </c>
    </row>
    <row r="93" spans="1:13" s="19" customFormat="1" ht="15.75">
      <c r="A93" s="44" t="s">
        <v>46</v>
      </c>
      <c r="B93" s="33" t="s">
        <v>47</v>
      </c>
      <c r="C93" s="28"/>
      <c r="D93" s="28"/>
      <c r="E93" s="28"/>
      <c r="F93" s="74"/>
      <c r="G93" s="74"/>
      <c r="H93" s="74"/>
      <c r="I93" s="74"/>
      <c r="J93" s="74"/>
      <c r="K93" s="74"/>
      <c r="L93" s="74"/>
      <c r="M93" s="25"/>
    </row>
    <row r="94" spans="1:13" s="19" customFormat="1" ht="15.75">
      <c r="A94" s="45" t="s">
        <v>173</v>
      </c>
      <c r="B94" s="32" t="s">
        <v>174</v>
      </c>
      <c r="C94" s="25">
        <f>10+3</f>
        <v>13</v>
      </c>
      <c r="D94" s="25"/>
      <c r="E94" s="25"/>
      <c r="F94" s="74"/>
      <c r="G94" s="74"/>
      <c r="H94" s="74"/>
      <c r="I94" s="74"/>
      <c r="J94" s="74"/>
      <c r="K94" s="74"/>
      <c r="L94" s="74"/>
      <c r="M94" s="25">
        <f t="shared" si="7"/>
        <v>13</v>
      </c>
    </row>
    <row r="95" spans="1:13" s="19" customFormat="1" ht="15.75">
      <c r="A95" s="45"/>
      <c r="B95" s="32"/>
      <c r="C95" s="28"/>
      <c r="D95" s="25"/>
      <c r="E95" s="25"/>
      <c r="F95" s="74"/>
      <c r="G95" s="74"/>
      <c r="H95" s="74"/>
      <c r="I95" s="74"/>
      <c r="J95" s="74"/>
      <c r="K95" s="74"/>
      <c r="L95" s="74"/>
      <c r="M95" s="25"/>
    </row>
    <row r="96" spans="1:13" s="19" customFormat="1" ht="31.5">
      <c r="A96" s="52" t="s">
        <v>16</v>
      </c>
      <c r="B96" s="30" t="s">
        <v>151</v>
      </c>
      <c r="C96" s="25">
        <f>774.2+7.3+28.65+33</f>
        <v>843.15</v>
      </c>
      <c r="D96" s="25">
        <f>501.693+21.02</f>
        <v>522.713</v>
      </c>
      <c r="E96" s="25">
        <v>68.292</v>
      </c>
      <c r="F96" s="74"/>
      <c r="G96" s="74"/>
      <c r="H96" s="74"/>
      <c r="I96" s="74"/>
      <c r="J96" s="74"/>
      <c r="K96" s="74"/>
      <c r="L96" s="74"/>
      <c r="M96" s="25">
        <f t="shared" si="7"/>
        <v>843.15</v>
      </c>
    </row>
    <row r="97" spans="1:13" s="19" customFormat="1" ht="46.5" customHeight="1">
      <c r="A97" s="47" t="s">
        <v>108</v>
      </c>
      <c r="B97" s="32" t="s">
        <v>180</v>
      </c>
      <c r="C97" s="25">
        <f>10+3+10-5</f>
        <v>18</v>
      </c>
      <c r="D97" s="25"/>
      <c r="E97" s="25"/>
      <c r="F97" s="74"/>
      <c r="G97" s="74"/>
      <c r="H97" s="74"/>
      <c r="I97" s="74"/>
      <c r="J97" s="74"/>
      <c r="K97" s="74"/>
      <c r="L97" s="74"/>
      <c r="M97" s="25">
        <f t="shared" si="7"/>
        <v>18</v>
      </c>
    </row>
    <row r="98" spans="1:13" s="19" customFormat="1" ht="31.5">
      <c r="A98" s="47" t="s">
        <v>17</v>
      </c>
      <c r="B98" s="32" t="s">
        <v>167</v>
      </c>
      <c r="C98" s="25">
        <f>26+8.8+2.703+16</f>
        <v>53.503</v>
      </c>
      <c r="D98" s="25"/>
      <c r="E98" s="25"/>
      <c r="F98" s="29"/>
      <c r="G98" s="29"/>
      <c r="H98" s="29"/>
      <c r="I98" s="29"/>
      <c r="J98" s="29"/>
      <c r="K98" s="29"/>
      <c r="L98" s="29"/>
      <c r="M98" s="25">
        <f>SUM(C98,F98)</f>
        <v>53.503</v>
      </c>
    </row>
    <row r="99" spans="1:13" s="19" customFormat="1" ht="15.75">
      <c r="A99" s="49"/>
      <c r="B99" s="17" t="s">
        <v>8</v>
      </c>
      <c r="C99" s="28">
        <f>C94+C95+C96+C97+C98</f>
        <v>927.653</v>
      </c>
      <c r="D99" s="28">
        <f>D94+D95+D96+D97+D98</f>
        <v>522.713</v>
      </c>
      <c r="E99" s="28">
        <f>E94+E95+E96+E97+E98</f>
        <v>68.292</v>
      </c>
      <c r="F99" s="74"/>
      <c r="G99" s="74"/>
      <c r="H99" s="74"/>
      <c r="I99" s="74"/>
      <c r="J99" s="74"/>
      <c r="K99" s="74"/>
      <c r="L99" s="74"/>
      <c r="M99" s="25">
        <f t="shared" si="7"/>
        <v>927.653</v>
      </c>
    </row>
    <row r="100" spans="1:13" s="19" customFormat="1" ht="15.75">
      <c r="A100" s="77" t="s">
        <v>187</v>
      </c>
      <c r="B100" s="17" t="s">
        <v>188</v>
      </c>
      <c r="C100" s="28"/>
      <c r="D100" s="28"/>
      <c r="E100" s="28"/>
      <c r="F100" s="74"/>
      <c r="G100" s="74"/>
      <c r="H100" s="74"/>
      <c r="I100" s="74"/>
      <c r="J100" s="74"/>
      <c r="K100" s="74"/>
      <c r="L100" s="74"/>
      <c r="M100" s="25"/>
    </row>
    <row r="101" spans="1:13" s="19" customFormat="1" ht="37.5" customHeight="1">
      <c r="A101" s="42" t="s">
        <v>189</v>
      </c>
      <c r="B101" s="18" t="s">
        <v>190</v>
      </c>
      <c r="C101" s="28"/>
      <c r="D101" s="28"/>
      <c r="E101" s="28"/>
      <c r="F101" s="75">
        <f>G101+J101</f>
        <v>143</v>
      </c>
      <c r="G101" s="75"/>
      <c r="H101" s="75"/>
      <c r="I101" s="75"/>
      <c r="J101" s="75">
        <v>143</v>
      </c>
      <c r="K101" s="75">
        <v>143</v>
      </c>
      <c r="L101" s="75">
        <v>130</v>
      </c>
      <c r="M101" s="72">
        <f>F101</f>
        <v>143</v>
      </c>
    </row>
    <row r="102" spans="1:13" s="19" customFormat="1" ht="15.75">
      <c r="A102" s="49"/>
      <c r="B102" s="17"/>
      <c r="C102" s="28"/>
      <c r="D102" s="28"/>
      <c r="E102" s="28"/>
      <c r="F102" s="74"/>
      <c r="G102" s="74"/>
      <c r="H102" s="74"/>
      <c r="I102" s="74"/>
      <c r="J102" s="74"/>
      <c r="K102" s="74"/>
      <c r="L102" s="74"/>
      <c r="M102" s="25"/>
    </row>
    <row r="103" spans="1:13" ht="39.75" customHeight="1">
      <c r="A103" s="62">
        <v>170000</v>
      </c>
      <c r="B103" s="57" t="s">
        <v>160</v>
      </c>
      <c r="C103" s="28"/>
      <c r="D103" s="28"/>
      <c r="E103" s="28"/>
      <c r="F103" s="28"/>
      <c r="G103" s="28"/>
      <c r="H103" s="28"/>
      <c r="I103" s="28"/>
      <c r="J103" s="28"/>
      <c r="K103" s="28"/>
      <c r="L103" s="28"/>
      <c r="M103" s="28"/>
    </row>
    <row r="104" spans="1:13" ht="57.75" customHeight="1">
      <c r="A104" s="42" t="s">
        <v>161</v>
      </c>
      <c r="B104" s="18" t="s">
        <v>162</v>
      </c>
      <c r="C104" s="25">
        <v>50</v>
      </c>
      <c r="D104" s="28"/>
      <c r="E104" s="28"/>
      <c r="F104" s="28"/>
      <c r="G104" s="28"/>
      <c r="H104" s="28"/>
      <c r="I104" s="28"/>
      <c r="J104" s="28"/>
      <c r="K104" s="28"/>
      <c r="L104" s="28"/>
      <c r="M104" s="25">
        <f t="shared" si="7"/>
        <v>50</v>
      </c>
    </row>
    <row r="105" spans="1:13" ht="52.5" customHeight="1">
      <c r="A105" s="42" t="s">
        <v>163</v>
      </c>
      <c r="B105" s="18" t="s">
        <v>164</v>
      </c>
      <c r="C105" s="25">
        <v>108.5</v>
      </c>
      <c r="D105" s="28"/>
      <c r="E105" s="28"/>
      <c r="F105" s="28"/>
      <c r="G105" s="28"/>
      <c r="H105" s="28"/>
      <c r="I105" s="28"/>
      <c r="J105" s="28"/>
      <c r="K105" s="28"/>
      <c r="L105" s="28"/>
      <c r="M105" s="25">
        <f t="shared" si="7"/>
        <v>108.5</v>
      </c>
    </row>
    <row r="106" spans="1:13" ht="28.5" customHeight="1">
      <c r="A106" s="62"/>
      <c r="B106" s="70" t="s">
        <v>8</v>
      </c>
      <c r="C106" s="28">
        <f>C104+C105</f>
        <v>158.5</v>
      </c>
      <c r="D106" s="74"/>
      <c r="E106" s="74"/>
      <c r="F106" s="74"/>
      <c r="G106" s="74"/>
      <c r="H106" s="74"/>
      <c r="I106" s="74"/>
      <c r="J106" s="74"/>
      <c r="K106" s="74"/>
      <c r="L106" s="74"/>
      <c r="M106" s="28">
        <f t="shared" si="7"/>
        <v>158.5</v>
      </c>
    </row>
    <row r="107" spans="1:13" ht="20.25" customHeight="1">
      <c r="A107" s="62">
        <v>180000</v>
      </c>
      <c r="B107" s="66" t="s">
        <v>165</v>
      </c>
      <c r="C107" s="28"/>
      <c r="D107" s="28"/>
      <c r="E107" s="28"/>
      <c r="F107" s="74"/>
      <c r="G107" s="74"/>
      <c r="H107" s="74"/>
      <c r="I107" s="74"/>
      <c r="J107" s="74"/>
      <c r="K107" s="74"/>
      <c r="L107" s="74"/>
      <c r="M107" s="28"/>
    </row>
    <row r="108" spans="1:13" ht="20.25" customHeight="1">
      <c r="A108" s="45" t="s">
        <v>158</v>
      </c>
      <c r="B108" s="32" t="s">
        <v>159</v>
      </c>
      <c r="C108" s="25">
        <v>4</v>
      </c>
      <c r="D108" s="28"/>
      <c r="E108" s="28"/>
      <c r="F108" s="74"/>
      <c r="G108" s="74"/>
      <c r="H108" s="74"/>
      <c r="I108" s="74"/>
      <c r="J108" s="74"/>
      <c r="K108" s="74"/>
      <c r="L108" s="74"/>
      <c r="M108" s="25">
        <f t="shared" si="7"/>
        <v>4</v>
      </c>
    </row>
    <row r="109" spans="1:13" ht="20.25" customHeight="1">
      <c r="A109" s="45"/>
      <c r="B109" s="17" t="s">
        <v>8</v>
      </c>
      <c r="C109" s="28">
        <f>C108</f>
        <v>4</v>
      </c>
      <c r="D109" s="74"/>
      <c r="E109" s="74"/>
      <c r="F109" s="74"/>
      <c r="G109" s="74"/>
      <c r="H109" s="74"/>
      <c r="I109" s="74"/>
      <c r="J109" s="74"/>
      <c r="K109" s="74"/>
      <c r="L109" s="74"/>
      <c r="M109" s="28">
        <f t="shared" si="7"/>
        <v>4</v>
      </c>
    </row>
    <row r="110" spans="1:13" ht="20.25" customHeight="1">
      <c r="A110" s="62">
        <v>210000</v>
      </c>
      <c r="B110" s="63" t="s">
        <v>152</v>
      </c>
      <c r="C110" s="25"/>
      <c r="D110" s="74"/>
      <c r="E110" s="74"/>
      <c r="F110" s="74"/>
      <c r="G110" s="74"/>
      <c r="H110" s="74"/>
      <c r="I110" s="74"/>
      <c r="J110" s="74"/>
      <c r="K110" s="74"/>
      <c r="L110" s="74"/>
      <c r="M110" s="28"/>
    </row>
    <row r="111" spans="1:13" ht="30.75" customHeight="1">
      <c r="A111" s="67" t="s">
        <v>48</v>
      </c>
      <c r="B111" s="64" t="s">
        <v>153</v>
      </c>
      <c r="C111" s="25">
        <f>13+4.3+4.5+32</f>
        <v>53.8</v>
      </c>
      <c r="D111" s="74"/>
      <c r="E111" s="74"/>
      <c r="F111" s="74"/>
      <c r="G111" s="74"/>
      <c r="H111" s="74"/>
      <c r="I111" s="74"/>
      <c r="J111" s="74"/>
      <c r="K111" s="74"/>
      <c r="L111" s="28"/>
      <c r="M111" s="25">
        <f t="shared" si="7"/>
        <v>53.8</v>
      </c>
    </row>
    <row r="112" spans="1:13" ht="20.25" customHeight="1">
      <c r="A112" s="65"/>
      <c r="B112" s="66" t="s">
        <v>8</v>
      </c>
      <c r="C112" s="28">
        <f>C111</f>
        <v>53.8</v>
      </c>
      <c r="D112" s="74"/>
      <c r="E112" s="74"/>
      <c r="F112" s="74"/>
      <c r="G112" s="74"/>
      <c r="H112" s="74"/>
      <c r="I112" s="74"/>
      <c r="J112" s="74"/>
      <c r="K112" s="74"/>
      <c r="L112" s="25"/>
      <c r="M112" s="28">
        <f t="shared" si="7"/>
        <v>53.8</v>
      </c>
    </row>
    <row r="113" spans="1:13" ht="20.25" customHeight="1">
      <c r="A113" s="62">
        <v>240000</v>
      </c>
      <c r="B113" s="66" t="s">
        <v>199</v>
      </c>
      <c r="C113" s="28"/>
      <c r="D113" s="74"/>
      <c r="E113" s="74"/>
      <c r="F113" s="74"/>
      <c r="G113" s="74"/>
      <c r="H113" s="74"/>
      <c r="I113" s="74"/>
      <c r="J113" s="74"/>
      <c r="K113" s="74"/>
      <c r="L113" s="25"/>
      <c r="M113" s="28"/>
    </row>
    <row r="114" spans="1:13" ht="20.25" customHeight="1">
      <c r="A114" s="36">
        <v>240601</v>
      </c>
      <c r="B114" s="79" t="s">
        <v>200</v>
      </c>
      <c r="C114" s="28"/>
      <c r="D114" s="8"/>
      <c r="E114" s="8"/>
      <c r="F114" s="20">
        <f>G114+J114</f>
        <v>42.6</v>
      </c>
      <c r="G114" s="20">
        <v>42.6</v>
      </c>
      <c r="H114" s="20"/>
      <c r="I114" s="8"/>
      <c r="J114" s="8"/>
      <c r="K114" s="8"/>
      <c r="L114" s="25"/>
      <c r="M114" s="25">
        <f t="shared" si="7"/>
        <v>42.6</v>
      </c>
    </row>
    <row r="115" spans="1:13" ht="20.25" customHeight="1">
      <c r="A115" s="36"/>
      <c r="B115" s="66" t="s">
        <v>8</v>
      </c>
      <c r="C115" s="28"/>
      <c r="D115" s="8"/>
      <c r="E115" s="80"/>
      <c r="F115" s="71">
        <f>G115+J115</f>
        <v>42.6</v>
      </c>
      <c r="G115" s="71">
        <v>42.6</v>
      </c>
      <c r="H115" s="80"/>
      <c r="I115" s="80"/>
      <c r="J115" s="80"/>
      <c r="K115" s="80"/>
      <c r="L115" s="28"/>
      <c r="M115" s="28">
        <f t="shared" si="7"/>
        <v>42.6</v>
      </c>
    </row>
    <row r="116" spans="1:13" ht="20.25" customHeight="1">
      <c r="A116" s="62">
        <v>250000</v>
      </c>
      <c r="B116" s="66" t="s">
        <v>191</v>
      </c>
      <c r="C116" s="28"/>
      <c r="D116" s="74"/>
      <c r="E116" s="74"/>
      <c r="F116" s="74"/>
      <c r="G116" s="74"/>
      <c r="H116" s="74"/>
      <c r="I116" s="74"/>
      <c r="J116" s="74"/>
      <c r="K116" s="74"/>
      <c r="L116" s="25"/>
      <c r="M116" s="28"/>
    </row>
    <row r="117" spans="1:13" ht="14.25" customHeight="1">
      <c r="A117"/>
      <c r="B117"/>
      <c r="C117"/>
      <c r="D117"/>
      <c r="E117"/>
      <c r="F117"/>
      <c r="G117"/>
      <c r="H117"/>
      <c r="I117"/>
      <c r="J117"/>
      <c r="K117"/>
      <c r="L117"/>
      <c r="M117"/>
    </row>
    <row r="118" spans="1:13" ht="47.25" customHeight="1">
      <c r="A118" s="36">
        <v>250311</v>
      </c>
      <c r="B118" s="37" t="s">
        <v>182</v>
      </c>
      <c r="C118" s="25">
        <v>5215.052</v>
      </c>
      <c r="D118" s="25"/>
      <c r="E118" s="25"/>
      <c r="F118" s="74"/>
      <c r="G118" s="74"/>
      <c r="H118" s="74"/>
      <c r="I118" s="74"/>
      <c r="J118" s="74"/>
      <c r="K118" s="74"/>
      <c r="L118" s="25"/>
      <c r="M118" s="25">
        <f t="shared" si="7"/>
        <v>5215.052</v>
      </c>
    </row>
    <row r="119" spans="1:13" ht="32.25" customHeight="1">
      <c r="A119" s="42" t="s">
        <v>109</v>
      </c>
      <c r="B119" s="26" t="s">
        <v>183</v>
      </c>
      <c r="C119" s="25">
        <v>123.6</v>
      </c>
      <c r="D119" s="25"/>
      <c r="E119" s="25"/>
      <c r="F119" s="74"/>
      <c r="G119" s="74"/>
      <c r="H119" s="74"/>
      <c r="I119" s="74"/>
      <c r="J119" s="74"/>
      <c r="K119" s="74"/>
      <c r="L119" s="25"/>
      <c r="M119" s="25">
        <f aca="true" t="shared" si="8" ref="M119:M125">C119+F119</f>
        <v>123.6</v>
      </c>
    </row>
    <row r="120" spans="1:13" ht="64.5" customHeight="1" hidden="1">
      <c r="A120" s="42"/>
      <c r="B120" s="26"/>
      <c r="C120" s="25"/>
      <c r="D120" s="25"/>
      <c r="E120" s="25"/>
      <c r="F120" s="74"/>
      <c r="G120" s="74"/>
      <c r="H120" s="74"/>
      <c r="I120" s="74"/>
      <c r="J120" s="74"/>
      <c r="K120" s="74"/>
      <c r="L120" s="25"/>
      <c r="M120" s="25">
        <f t="shared" si="8"/>
        <v>0</v>
      </c>
    </row>
    <row r="121" spans="1:13" ht="129.75" customHeight="1">
      <c r="A121" s="42" t="s">
        <v>201</v>
      </c>
      <c r="B121" s="81" t="s">
        <v>202</v>
      </c>
      <c r="C121" s="25">
        <v>266.4</v>
      </c>
      <c r="D121" s="25"/>
      <c r="E121" s="25"/>
      <c r="F121" s="74"/>
      <c r="G121" s="74"/>
      <c r="H121" s="74"/>
      <c r="I121" s="74"/>
      <c r="J121" s="74"/>
      <c r="K121" s="74"/>
      <c r="L121" s="25"/>
      <c r="M121" s="25">
        <f t="shared" si="8"/>
        <v>266.4</v>
      </c>
    </row>
    <row r="122" spans="1:13" ht="101.25" customHeight="1">
      <c r="A122" s="42" t="s">
        <v>194</v>
      </c>
      <c r="B122" s="78" t="s">
        <v>195</v>
      </c>
      <c r="C122" s="25">
        <v>51.898</v>
      </c>
      <c r="D122" s="25"/>
      <c r="E122" s="25"/>
      <c r="F122" s="74"/>
      <c r="G122" s="74"/>
      <c r="H122" s="74"/>
      <c r="I122" s="74"/>
      <c r="J122" s="74"/>
      <c r="K122" s="74"/>
      <c r="L122" s="25"/>
      <c r="M122" s="25">
        <f t="shared" si="8"/>
        <v>51.898</v>
      </c>
    </row>
    <row r="123" spans="1:13" ht="54.75" customHeight="1">
      <c r="A123" s="42" t="s">
        <v>203</v>
      </c>
      <c r="B123" s="82" t="s">
        <v>204</v>
      </c>
      <c r="C123" s="25">
        <f>9+30</f>
        <v>39</v>
      </c>
      <c r="D123" s="25"/>
      <c r="E123" s="25"/>
      <c r="F123" s="74"/>
      <c r="G123" s="74"/>
      <c r="H123" s="74"/>
      <c r="I123" s="74"/>
      <c r="J123" s="74"/>
      <c r="K123" s="74"/>
      <c r="L123" s="25"/>
      <c r="M123" s="25">
        <f t="shared" si="8"/>
        <v>39</v>
      </c>
    </row>
    <row r="124" spans="1:13" ht="23.25" customHeight="1">
      <c r="A124" s="42" t="s">
        <v>192</v>
      </c>
      <c r="B124" s="26" t="s">
        <v>193</v>
      </c>
      <c r="C124" s="25">
        <f>22.2+7</f>
        <v>29.2</v>
      </c>
      <c r="D124" s="25"/>
      <c r="E124" s="25"/>
      <c r="F124" s="72">
        <f>G124+J124</f>
        <v>58.303</v>
      </c>
      <c r="G124" s="72">
        <v>18.303</v>
      </c>
      <c r="H124" s="8"/>
      <c r="I124" s="8"/>
      <c r="J124" s="72">
        <f>40</f>
        <v>40</v>
      </c>
      <c r="K124" s="72">
        <f>40</f>
        <v>40</v>
      </c>
      <c r="L124" s="25">
        <v>40</v>
      </c>
      <c r="M124" s="25">
        <f t="shared" si="8"/>
        <v>87.503</v>
      </c>
    </row>
    <row r="125" spans="1:13" ht="66" customHeight="1">
      <c r="A125" s="42" t="s">
        <v>196</v>
      </c>
      <c r="B125" s="78" t="s">
        <v>197</v>
      </c>
      <c r="C125" s="25">
        <v>199.9</v>
      </c>
      <c r="D125" s="25"/>
      <c r="E125" s="25"/>
      <c r="F125" s="72">
        <f>G125+J125</f>
        <v>0</v>
      </c>
      <c r="G125" s="72"/>
      <c r="H125" s="8"/>
      <c r="I125" s="8"/>
      <c r="J125"/>
      <c r="K125"/>
      <c r="L125" s="25"/>
      <c r="M125" s="25">
        <f t="shared" si="8"/>
        <v>199.9</v>
      </c>
    </row>
    <row r="126" spans="1:13" ht="24.75" customHeight="1">
      <c r="A126" s="69" t="s">
        <v>22</v>
      </c>
      <c r="B126" s="68" t="s">
        <v>154</v>
      </c>
      <c r="C126" s="25">
        <f>46+14.8-2+5.453+31.5</f>
        <v>95.753</v>
      </c>
      <c r="D126" s="25"/>
      <c r="E126" s="25"/>
      <c r="F126" s="25">
        <f>G126+J126</f>
        <v>1.25</v>
      </c>
      <c r="G126" s="25"/>
      <c r="H126" s="25"/>
      <c r="I126" s="25"/>
      <c r="J126" s="25">
        <f>2-0.75</f>
        <v>1.25</v>
      </c>
      <c r="K126" s="25">
        <f>2-0.75</f>
        <v>1.25</v>
      </c>
      <c r="L126" s="25">
        <f>2-0.75</f>
        <v>1.25</v>
      </c>
      <c r="M126" s="25">
        <f t="shared" si="7"/>
        <v>97.003</v>
      </c>
    </row>
    <row r="127" spans="1:13" ht="19.5" customHeight="1">
      <c r="A127" s="42"/>
      <c r="B127" s="38" t="s">
        <v>2</v>
      </c>
      <c r="C127" s="71">
        <f>C117+C118+C119+C126+C122+C124+C125+C121+C123</f>
        <v>6020.802999999999</v>
      </c>
      <c r="D127" s="71">
        <f aca="true" t="shared" si="9" ref="D127:L127">D117+D118+D119+D126+D122+D124+D125</f>
        <v>0</v>
      </c>
      <c r="E127" s="71">
        <f t="shared" si="9"/>
        <v>0</v>
      </c>
      <c r="F127" s="71">
        <f>F117+F118+F119+F126+F122+F124+F125</f>
        <v>59.553</v>
      </c>
      <c r="G127" s="71">
        <f t="shared" si="9"/>
        <v>18.303</v>
      </c>
      <c r="H127" s="71">
        <f t="shared" si="9"/>
        <v>0</v>
      </c>
      <c r="I127" s="71">
        <f t="shared" si="9"/>
        <v>0</v>
      </c>
      <c r="J127" s="71">
        <f t="shared" si="9"/>
        <v>41.25</v>
      </c>
      <c r="K127" s="71">
        <f t="shared" si="9"/>
        <v>41.25</v>
      </c>
      <c r="L127" s="71">
        <f t="shared" si="9"/>
        <v>41.25</v>
      </c>
      <c r="M127" s="28">
        <f t="shared" si="7"/>
        <v>6080.355999999999</v>
      </c>
    </row>
    <row r="128" spans="1:13" ht="61.5" customHeight="1" hidden="1">
      <c r="A128" s="42"/>
      <c r="B128" s="37"/>
      <c r="C128" s="25"/>
      <c r="D128" s="25"/>
      <c r="E128" s="25"/>
      <c r="F128" s="25">
        <f>G128+J128</f>
        <v>0</v>
      </c>
      <c r="G128" s="25"/>
      <c r="H128" s="25"/>
      <c r="I128" s="25"/>
      <c r="J128" s="25"/>
      <c r="K128" s="25"/>
      <c r="L128" s="25"/>
      <c r="M128" s="25">
        <f t="shared" si="7"/>
        <v>0</v>
      </c>
    </row>
    <row r="129" spans="1:14" ht="18.75">
      <c r="A129" s="41"/>
      <c r="B129" s="24" t="s">
        <v>128</v>
      </c>
      <c r="C129" s="28">
        <f>C17+C27+C32+C78+C87+C92+C99+C127+C109+C106+C112</f>
        <v>106425.96900000003</v>
      </c>
      <c r="D129" s="28">
        <f>D17+D27+D32+D78+D87+D92+D99+D127+D109+D106+D112</f>
        <v>36941.62300000001</v>
      </c>
      <c r="E129" s="28">
        <f>E17+E27+E32+E78+E87+E92+E99+E127+E109+E106+E112</f>
        <v>6369.782</v>
      </c>
      <c r="F129" s="28">
        <f>G129+J129</f>
        <v>1695.819</v>
      </c>
      <c r="G129" s="28">
        <f>G17+G27+G32+G78+G87+G92+G99+G127+G109+G106+G112+G115</f>
        <v>613.003</v>
      </c>
      <c r="H129" s="28">
        <f>H17+H27+H32+H78+H87+H92+H99+H127+H109+H106+H112</f>
        <v>127.53</v>
      </c>
      <c r="I129" s="28">
        <f>I17+I27+I32+I78+I87+I92+I99+I127+I109+I106+I112</f>
        <v>6.8</v>
      </c>
      <c r="J129" s="28">
        <f>J17+J27+J32+J78+J87+J92+J99+J127+J109+J106+J112+J101</f>
        <v>1082.816</v>
      </c>
      <c r="K129" s="28">
        <f>K17+K27+K32+K78+K87+K92+K99+K127+K109+K106+K112+K101</f>
        <v>1075.016</v>
      </c>
      <c r="L129" s="28">
        <f>L17+L27+L32+L78+L87+L92+L99+L127+L109+L106+L112+L101</f>
        <v>1055.016</v>
      </c>
      <c r="M129" s="28">
        <f>C129+F129</f>
        <v>108121.78800000003</v>
      </c>
      <c r="N129" s="22"/>
    </row>
    <row r="130" spans="1:14" ht="31.5">
      <c r="A130" s="41"/>
      <c r="B130" s="10" t="s">
        <v>110</v>
      </c>
      <c r="C130" s="25">
        <v>35809.453</v>
      </c>
      <c r="D130" s="53"/>
      <c r="E130" s="53"/>
      <c r="F130" s="25">
        <f>G130+J130</f>
        <v>4</v>
      </c>
      <c r="G130" s="25"/>
      <c r="H130" s="25"/>
      <c r="I130" s="25"/>
      <c r="J130" s="25">
        <f>198.9-194.9</f>
        <v>4</v>
      </c>
      <c r="K130" s="25">
        <v>4</v>
      </c>
      <c r="L130" s="25">
        <v>4</v>
      </c>
      <c r="M130" s="25">
        <f t="shared" si="7"/>
        <v>35813.453</v>
      </c>
      <c r="N130" s="22"/>
    </row>
    <row r="131" spans="1:13" ht="21.75" customHeight="1">
      <c r="A131" s="7"/>
      <c r="B131" s="83" t="s">
        <v>206</v>
      </c>
      <c r="C131" s="83"/>
      <c r="D131" s="8"/>
      <c r="F131" s="74"/>
      <c r="G131" s="51" t="s">
        <v>207</v>
      </c>
      <c r="H131" s="74"/>
      <c r="I131" s="16"/>
      <c r="J131" s="12"/>
      <c r="K131" s="12"/>
      <c r="L131" s="16" t="s">
        <v>103</v>
      </c>
      <c r="M131" s="12"/>
    </row>
    <row r="132" spans="1:13" ht="12.75" customHeight="1">
      <c r="A132" s="7"/>
      <c r="B132" s="9"/>
      <c r="C132" s="20"/>
      <c r="D132" s="20"/>
      <c r="E132" s="20"/>
      <c r="F132" s="12"/>
      <c r="G132" s="12"/>
      <c r="H132" s="12"/>
      <c r="I132" s="12"/>
      <c r="J132" s="12"/>
      <c r="K132" s="12"/>
      <c r="L132" s="12"/>
      <c r="M132" s="12"/>
    </row>
    <row r="133" spans="1:5" ht="15.75" hidden="1">
      <c r="A133" s="7"/>
      <c r="B133" s="10"/>
      <c r="C133" s="22"/>
      <c r="D133" s="22"/>
      <c r="E133" s="22"/>
    </row>
    <row r="134" spans="1:13" ht="15.75" hidden="1">
      <c r="A134" s="7"/>
      <c r="B134" s="14"/>
      <c r="C134" s="21"/>
      <c r="D134" s="21"/>
      <c r="E134" s="21"/>
      <c r="F134" s="15">
        <f>SUM(G134,J134)</f>
        <v>346.37800000000004</v>
      </c>
      <c r="G134" s="15">
        <f>SUM(G15)</f>
        <v>1.8</v>
      </c>
      <c r="H134" s="15">
        <f>SUM(H15)</f>
        <v>0</v>
      </c>
      <c r="I134" s="15">
        <f>SUM(I15)</f>
        <v>0</v>
      </c>
      <c r="J134" s="15">
        <f>SUM(J15)</f>
        <v>344.57800000000003</v>
      </c>
      <c r="K134" s="15"/>
      <c r="L134" s="15"/>
      <c r="M134" s="15" t="e">
        <f>SUM(#REF!,F134)</f>
        <v>#REF!</v>
      </c>
    </row>
    <row r="135" spans="1:13" ht="15.75" hidden="1">
      <c r="A135" s="7"/>
      <c r="B135" s="14"/>
      <c r="C135" s="21"/>
      <c r="D135" s="21"/>
      <c r="E135" s="21"/>
      <c r="F135" s="15" t="e">
        <f aca="true" t="shared" si="10" ref="F135:F154">SUM(G135,J135)</f>
        <v>#REF!</v>
      </c>
      <c r="G135" s="15" t="e">
        <f>SUM(#REF!)</f>
        <v>#REF!</v>
      </c>
      <c r="H135" s="15" t="e">
        <f>SUM(#REF!)</f>
        <v>#REF!</v>
      </c>
      <c r="I135" s="15" t="e">
        <f>SUM(#REF!)</f>
        <v>#REF!</v>
      </c>
      <c r="J135" s="15" t="e">
        <f>SUM(#REF!)</f>
        <v>#REF!</v>
      </c>
      <c r="K135" s="15"/>
      <c r="L135" s="15"/>
      <c r="M135" s="15" t="e">
        <f>SUM(#REF!,F135)</f>
        <v>#REF!</v>
      </c>
    </row>
    <row r="136" spans="1:13" ht="15.75" hidden="1">
      <c r="A136" s="7"/>
      <c r="B136" s="14"/>
      <c r="C136" s="21"/>
      <c r="D136" s="21"/>
      <c r="E136" s="21"/>
      <c r="F136" s="15" t="e">
        <f t="shared" si="10"/>
        <v>#REF!</v>
      </c>
      <c r="G136" s="15" t="e">
        <f>SUM(#REF!,#REF!,#REF!,#REF!,#REF!)</f>
        <v>#REF!</v>
      </c>
      <c r="H136" s="15" t="e">
        <f>SUM(#REF!,#REF!,#REF!,#REF!,#REF!)</f>
        <v>#REF!</v>
      </c>
      <c r="I136" s="15" t="e">
        <f>SUM(#REF!,#REF!,#REF!,#REF!,#REF!)</f>
        <v>#REF!</v>
      </c>
      <c r="J136" s="15" t="e">
        <f>SUM(#REF!,#REF!,#REF!,#REF!,#REF!)</f>
        <v>#REF!</v>
      </c>
      <c r="K136" s="15"/>
      <c r="L136" s="15"/>
      <c r="M136" s="15" t="e">
        <f>SUM(#REF!,F136)</f>
        <v>#REF!</v>
      </c>
    </row>
    <row r="137" spans="1:13" ht="15.75" hidden="1">
      <c r="A137" s="7"/>
      <c r="B137" s="14"/>
      <c r="C137" s="21"/>
      <c r="D137" s="21"/>
      <c r="E137" s="21"/>
      <c r="F137" s="15" t="e">
        <f t="shared" si="10"/>
        <v>#REF!</v>
      </c>
      <c r="G137" s="15" t="e">
        <f>SUM(#REF!)</f>
        <v>#REF!</v>
      </c>
      <c r="H137" s="15" t="e">
        <f>SUM(#REF!)</f>
        <v>#REF!</v>
      </c>
      <c r="I137" s="15" t="e">
        <f>SUM(#REF!)</f>
        <v>#REF!</v>
      </c>
      <c r="J137" s="15" t="e">
        <f>SUM(#REF!)</f>
        <v>#REF!</v>
      </c>
      <c r="K137" s="15"/>
      <c r="L137" s="15"/>
      <c r="M137" s="15" t="e">
        <f>SUM(#REF!,F137)</f>
        <v>#REF!</v>
      </c>
    </row>
    <row r="138" spans="1:13" ht="15.75" hidden="1">
      <c r="A138" s="7"/>
      <c r="B138" s="14"/>
      <c r="C138" s="21"/>
      <c r="D138" s="21"/>
      <c r="E138" s="21"/>
      <c r="F138" s="15" t="e">
        <f t="shared" si="10"/>
        <v>#REF!</v>
      </c>
      <c r="G138" s="15" t="e">
        <f>SUM(#REF!,#REF!)</f>
        <v>#REF!</v>
      </c>
      <c r="H138" s="15" t="e">
        <f>SUM(#REF!,#REF!)</f>
        <v>#REF!</v>
      </c>
      <c r="I138" s="15" t="e">
        <f>SUM(#REF!,#REF!)</f>
        <v>#REF!</v>
      </c>
      <c r="J138" s="15" t="e">
        <f>SUM(#REF!,#REF!)</f>
        <v>#REF!</v>
      </c>
      <c r="K138" s="15"/>
      <c r="L138" s="15"/>
      <c r="M138" s="15" t="e">
        <f>SUM(#REF!,F138)</f>
        <v>#REF!</v>
      </c>
    </row>
    <row r="139" spans="1:13" ht="12.75" customHeight="1" hidden="1">
      <c r="A139" s="7"/>
      <c r="B139" s="14"/>
      <c r="C139" s="21"/>
      <c r="D139" s="21"/>
      <c r="E139" s="21"/>
      <c r="F139" s="15" t="e">
        <f>SUM(#REF!)</f>
        <v>#REF!</v>
      </c>
      <c r="G139" s="15" t="e">
        <f>SUM(#REF!)</f>
        <v>#REF!</v>
      </c>
      <c r="H139" s="15" t="e">
        <f>SUM(#REF!)</f>
        <v>#REF!</v>
      </c>
      <c r="I139" s="15" t="e">
        <f>SUM(#REF!)</f>
        <v>#REF!</v>
      </c>
      <c r="J139" s="15" t="e">
        <f>SUM(#REF!)</f>
        <v>#REF!</v>
      </c>
      <c r="K139" s="15"/>
      <c r="L139" s="15"/>
      <c r="M139" s="15" t="e">
        <f>SUM(#REF!,F139)</f>
        <v>#REF!</v>
      </c>
    </row>
    <row r="140" spans="1:13" ht="15.75" hidden="1">
      <c r="A140" s="7"/>
      <c r="B140" s="14"/>
      <c r="C140" s="21"/>
      <c r="D140" s="21"/>
      <c r="E140" s="21"/>
      <c r="F140" s="15" t="e">
        <f t="shared" si="10"/>
        <v>#REF!</v>
      </c>
      <c r="G140" s="15" t="e">
        <f>SUM(#REF!,#REF!)</f>
        <v>#REF!</v>
      </c>
      <c r="H140" s="15" t="e">
        <f>SUM(#REF!,#REF!)</f>
        <v>#REF!</v>
      </c>
      <c r="I140" s="15" t="e">
        <f>SUM(#REF!,#REF!)</f>
        <v>#REF!</v>
      </c>
      <c r="J140" s="15" t="e">
        <f>SUM(#REF!,#REF!)</f>
        <v>#REF!</v>
      </c>
      <c r="K140" s="15"/>
      <c r="L140" s="15"/>
      <c r="M140" s="15" t="e">
        <f>SUM(#REF!,F140)</f>
        <v>#REF!</v>
      </c>
    </row>
    <row r="141" spans="1:13" ht="15.75" hidden="1">
      <c r="A141" s="7"/>
      <c r="B141" s="14"/>
      <c r="C141" s="21"/>
      <c r="D141" s="21"/>
      <c r="E141" s="21"/>
      <c r="F141" s="15" t="e">
        <f t="shared" si="10"/>
        <v>#REF!</v>
      </c>
      <c r="G141" s="15" t="e">
        <f>SUM(#REF!,#REF!)</f>
        <v>#REF!</v>
      </c>
      <c r="H141" s="15" t="e">
        <f>SUM(#REF!,#REF!)</f>
        <v>#REF!</v>
      </c>
      <c r="I141" s="15" t="e">
        <f>SUM(#REF!,#REF!)</f>
        <v>#REF!</v>
      </c>
      <c r="J141" s="15" t="e">
        <f>SUM(#REF!,#REF!)</f>
        <v>#REF!</v>
      </c>
      <c r="K141" s="15"/>
      <c r="L141" s="15"/>
      <c r="M141" s="15" t="e">
        <f>SUM(#REF!,F141)</f>
        <v>#REF!</v>
      </c>
    </row>
    <row r="142" spans="1:13" ht="15.75" hidden="1">
      <c r="A142" s="7"/>
      <c r="B142" s="14"/>
      <c r="C142" s="21"/>
      <c r="D142" s="21"/>
      <c r="E142" s="21"/>
      <c r="F142" s="15" t="e">
        <f t="shared" si="10"/>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10"/>
        <v>#REF!</v>
      </c>
      <c r="G143" s="15" t="e">
        <f>SUM(#REF!,#REF!,#REF!,#REF!,#REF!,#REF!,#REF!,#REF!,#REF!,#REF!,#REF!)</f>
        <v>#REF!</v>
      </c>
      <c r="H143" s="15" t="e">
        <f>SUM(#REF!,#REF!,#REF!,#REF!,#REF!,#REF!,#REF!,#REF!,#REF!,#REF!,#REF!)</f>
        <v>#REF!</v>
      </c>
      <c r="I143" s="15" t="e">
        <f>SUM(#REF!,#REF!,#REF!,#REF!,#REF!,#REF!,#REF!,#REF!,#REF!,#REF!,#REF!)</f>
        <v>#REF!</v>
      </c>
      <c r="J143" s="15" t="e">
        <f>SUM(#REF!,#REF!,#REF!,#REF!,#REF!,#REF!,#REF!,#REF!,#REF!,#REF!,#REF!)</f>
        <v>#REF!</v>
      </c>
      <c r="K143" s="15"/>
      <c r="L143" s="15"/>
      <c r="M143" s="15" t="e">
        <f>SUM(#REF!,F143)</f>
        <v>#REF!</v>
      </c>
    </row>
    <row r="144" spans="1:13" ht="15.75" hidden="1">
      <c r="A144" s="7"/>
      <c r="B144" s="14"/>
      <c r="C144" s="21"/>
      <c r="D144" s="21"/>
      <c r="E144" s="21"/>
      <c r="F144" s="15" t="e">
        <f t="shared" si="10"/>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10"/>
        <v>#REF!</v>
      </c>
      <c r="G145" s="15" t="e">
        <f>SUM(#REF!,#REF!,#REF!,#REF!,#REF!,#REF!)</f>
        <v>#REF!</v>
      </c>
      <c r="H145" s="15" t="e">
        <f>SUM(#REF!,#REF!,#REF!,#REF!,#REF!,#REF!)</f>
        <v>#REF!</v>
      </c>
      <c r="I145" s="15" t="e">
        <f>SUM(#REF!,#REF!,#REF!,#REF!,#REF!,#REF!)</f>
        <v>#REF!</v>
      </c>
      <c r="J145" s="15" t="e">
        <f>SUM(#REF!,#REF!,#REF!,#REF!,#REF!,#REF!)</f>
        <v>#REF!</v>
      </c>
      <c r="K145" s="15"/>
      <c r="L145" s="15"/>
      <c r="M145" s="15" t="e">
        <f>SUM(#REF!,F145)</f>
        <v>#REF!</v>
      </c>
    </row>
    <row r="146" spans="1:13" ht="15.75" hidden="1">
      <c r="A146" s="7"/>
      <c r="B146" s="14"/>
      <c r="C146" s="21"/>
      <c r="D146" s="21"/>
      <c r="E146" s="21"/>
      <c r="F146" s="15" t="e">
        <f t="shared" si="10"/>
        <v>#REF!</v>
      </c>
      <c r="G146" s="15" t="e">
        <f>SUM(#REF!,#REF!)</f>
        <v>#REF!</v>
      </c>
      <c r="H146" s="15" t="e">
        <f>SUM(#REF!,#REF!)</f>
        <v>#REF!</v>
      </c>
      <c r="I146" s="15" t="e">
        <f>SUM(#REF!,#REF!)</f>
        <v>#REF!</v>
      </c>
      <c r="J146" s="15" t="e">
        <f>SUM(#REF!,#REF!)</f>
        <v>#REF!</v>
      </c>
      <c r="K146" s="15"/>
      <c r="L146" s="15"/>
      <c r="M146" s="15" t="e">
        <f>SUM(#REF!,F146)</f>
        <v>#REF!</v>
      </c>
    </row>
    <row r="147" spans="1:13" ht="15.75" hidden="1">
      <c r="A147" s="7"/>
      <c r="B147" s="14"/>
      <c r="C147" s="21"/>
      <c r="D147" s="21"/>
      <c r="E147" s="21"/>
      <c r="F147" s="15" t="e">
        <f t="shared" si="10"/>
        <v>#REF!</v>
      </c>
      <c r="G147" s="15" t="e">
        <f>SUM(#REF!)</f>
        <v>#REF!</v>
      </c>
      <c r="H147" s="15" t="e">
        <f>SUM(#REF!)</f>
        <v>#REF!</v>
      </c>
      <c r="I147" s="15" t="e">
        <f>SUM(#REF!)</f>
        <v>#REF!</v>
      </c>
      <c r="J147" s="15" t="e">
        <f>SUM(#REF!)</f>
        <v>#REF!</v>
      </c>
      <c r="K147" s="15"/>
      <c r="L147" s="15"/>
      <c r="M147" s="15" t="e">
        <f>SUM(#REF!,F147)</f>
        <v>#REF!</v>
      </c>
    </row>
    <row r="148" spans="1:13" ht="15.75" hidden="1">
      <c r="A148" s="6"/>
      <c r="B148" s="14"/>
      <c r="C148" s="21"/>
      <c r="D148" s="21"/>
      <c r="E148" s="21"/>
      <c r="F148" s="15" t="e">
        <f t="shared" si="10"/>
        <v>#REF!</v>
      </c>
      <c r="G148" s="15" t="e">
        <f>SUM(#REF!,#REF!,#REF!,#REF!,#REF!)</f>
        <v>#REF!</v>
      </c>
      <c r="H148" s="15" t="e">
        <f>SUM(#REF!,#REF!,#REF!,#REF!,#REF!)</f>
        <v>#REF!</v>
      </c>
      <c r="I148" s="15" t="e">
        <f>SUM(#REF!,#REF!,#REF!,#REF!,#REF!)</f>
        <v>#REF!</v>
      </c>
      <c r="J148" s="15" t="e">
        <f>SUM(#REF!,#REF!,#REF!,#REF!,#REF!)</f>
        <v>#REF!</v>
      </c>
      <c r="K148" s="15"/>
      <c r="L148" s="15"/>
      <c r="M148" s="15" t="e">
        <f>SUM(#REF!,F148)</f>
        <v>#REF!</v>
      </c>
    </row>
    <row r="149" spans="1:13" ht="15.75" hidden="1">
      <c r="A149" s="6"/>
      <c r="B149" s="14"/>
      <c r="C149" s="21"/>
      <c r="D149" s="21"/>
      <c r="E149" s="21"/>
      <c r="F149" s="15" t="e">
        <f>SUM(#REF!,#REF!,#REF!,#REF!,#REF!,#REF!)</f>
        <v>#REF!</v>
      </c>
      <c r="G149" s="15" t="e">
        <f>SUM(#REF!,#REF!,#REF!,#REF!,#REF!,#REF!)</f>
        <v>#REF!</v>
      </c>
      <c r="H149" s="15" t="e">
        <f>SUM(#REF!,#REF!,#REF!,#REF!,#REF!,#REF!)</f>
        <v>#REF!</v>
      </c>
      <c r="I149" s="15" t="e">
        <f>SUM(#REF!,#REF!,#REF!,#REF!,#REF!,#REF!)</f>
        <v>#REF!</v>
      </c>
      <c r="J149" s="15" t="e">
        <f>SUM(#REF!,#REF!,#REF!,#REF!,#REF!,#REF!)</f>
        <v>#REF!</v>
      </c>
      <c r="K149" s="15"/>
      <c r="L149" s="15"/>
      <c r="M149" s="15" t="e">
        <f>SUM(#REF!,F149)</f>
        <v>#REF!</v>
      </c>
    </row>
    <row r="150" spans="1:13" ht="20.25" customHeight="1" hidden="1">
      <c r="A150" s="6"/>
      <c r="B150" s="14"/>
      <c r="C150" s="21"/>
      <c r="D150" s="21"/>
      <c r="E150" s="21"/>
      <c r="F150" s="15" t="e">
        <f t="shared" si="10"/>
        <v>#REF!</v>
      </c>
      <c r="G150" s="15" t="e">
        <f>SUM(#REF!)</f>
        <v>#REF!</v>
      </c>
      <c r="H150" s="15" t="e">
        <f>SUM(#REF!)</f>
        <v>#REF!</v>
      </c>
      <c r="I150" s="15" t="e">
        <f>SUM(#REF!)</f>
        <v>#REF!</v>
      </c>
      <c r="J150" s="15" t="e">
        <f>SUM(#REF!)</f>
        <v>#REF!</v>
      </c>
      <c r="K150" s="15"/>
      <c r="L150" s="15"/>
      <c r="M150" s="15" t="e">
        <f>SUM(#REF!,F150)</f>
        <v>#REF!</v>
      </c>
    </row>
    <row r="151" spans="1:13" ht="21" customHeight="1" hidden="1">
      <c r="A151" s="6"/>
      <c r="B151" s="14"/>
      <c r="C151" s="21"/>
      <c r="D151" s="21"/>
      <c r="E151" s="21"/>
      <c r="F151" s="15" t="e">
        <f t="shared" si="10"/>
        <v>#REF!</v>
      </c>
      <c r="G151" s="15" t="e">
        <f>SUM(#REF!,#REF!)</f>
        <v>#REF!</v>
      </c>
      <c r="H151" s="15" t="e">
        <f>SUM(#REF!,#REF!)</f>
        <v>#REF!</v>
      </c>
      <c r="I151" s="15" t="e">
        <f>SUM(#REF!,#REF!)</f>
        <v>#REF!</v>
      </c>
      <c r="J151" s="15" t="e">
        <f>SUM(#REF!,#REF!)</f>
        <v>#REF!</v>
      </c>
      <c r="K151" s="15"/>
      <c r="L151" s="15"/>
      <c r="M151" s="15" t="e">
        <f>SUM(#REF!,F151)</f>
        <v>#REF!</v>
      </c>
    </row>
    <row r="152" spans="1:13" ht="24.75" customHeight="1" hidden="1">
      <c r="A152" s="6"/>
      <c r="B152" s="14"/>
      <c r="C152" s="21"/>
      <c r="D152" s="21"/>
      <c r="E152" s="21"/>
      <c r="F152" s="15" t="e">
        <f t="shared" si="10"/>
        <v>#REF!</v>
      </c>
      <c r="G152" s="15" t="e">
        <f>SUM(#REF!,#REF!)</f>
        <v>#REF!</v>
      </c>
      <c r="H152" s="15" t="e">
        <f>SUM(#REF!,#REF!)</f>
        <v>#REF!</v>
      </c>
      <c r="I152" s="15" t="e">
        <f>SUM(#REF!,#REF!)</f>
        <v>#REF!</v>
      </c>
      <c r="J152" s="15" t="e">
        <f>SUM(#REF!,#REF!)</f>
        <v>#REF!</v>
      </c>
      <c r="K152" s="15"/>
      <c r="L152" s="15"/>
      <c r="M152" s="15" t="e">
        <f>SUM(#REF!,F152)</f>
        <v>#REF!</v>
      </c>
    </row>
    <row r="153" spans="1:13" ht="24.75" customHeight="1" hidden="1">
      <c r="A153" s="6"/>
      <c r="B153" s="14"/>
      <c r="C153" s="21"/>
      <c r="D153" s="21"/>
      <c r="E153" s="21"/>
      <c r="F153" s="15">
        <f t="shared" si="10"/>
        <v>0</v>
      </c>
      <c r="G153" s="15"/>
      <c r="H153" s="15"/>
      <c r="I153" s="15"/>
      <c r="J153" s="15"/>
      <c r="K153" s="15"/>
      <c r="L153" s="15"/>
      <c r="M153" s="15" t="e">
        <f>SUM(#REF!,F153)</f>
        <v>#REF!</v>
      </c>
    </row>
    <row r="154" spans="1:13" ht="19.5" customHeight="1" hidden="1">
      <c r="A154" s="6"/>
      <c r="B154" s="14"/>
      <c r="C154" s="21"/>
      <c r="D154" s="21"/>
      <c r="E154" s="21"/>
      <c r="F154" s="15" t="e">
        <f t="shared" si="10"/>
        <v>#REF!</v>
      </c>
      <c r="G154" s="15" t="e">
        <f>SUM(G134:G152)</f>
        <v>#REF!</v>
      </c>
      <c r="H154" s="15" t="e">
        <f>SUM(H134:H152)</f>
        <v>#REF!</v>
      </c>
      <c r="I154" s="15" t="e">
        <f>SUM(I134:I152)</f>
        <v>#REF!</v>
      </c>
      <c r="J154" s="15" t="e">
        <f>SUM(J134:J152)</f>
        <v>#REF!</v>
      </c>
      <c r="K154" s="15"/>
      <c r="L154" s="15"/>
      <c r="M154" s="15" t="e">
        <f>SUM(#REF!,F154)</f>
        <v>#REF!</v>
      </c>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sheetData>
  <mergeCells count="19">
    <mergeCell ref="A10:A12"/>
    <mergeCell ref="B10:B12"/>
    <mergeCell ref="A7:M7"/>
    <mergeCell ref="F10:F12"/>
    <mergeCell ref="G10:G12"/>
    <mergeCell ref="H10:I10"/>
    <mergeCell ref="J10:J12"/>
    <mergeCell ref="M9:M12"/>
    <mergeCell ref="D10:E10"/>
    <mergeCell ref="C9:E9"/>
    <mergeCell ref="B131:C131"/>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8" r:id="rId1"/>
  <headerFooter alignWithMargins="0">
    <oddFooter>&amp;C
</oddFooter>
  </headerFooter>
  <rowBreaks count="1" manualBreakCount="1">
    <brk id="11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RADA</cp:lastModifiedBy>
  <cp:lastPrinted>2011-08-26T12:21:19Z</cp:lastPrinted>
  <dcterms:created xsi:type="dcterms:W3CDTF">2002-12-20T15:22:07Z</dcterms:created>
  <dcterms:modified xsi:type="dcterms:W3CDTF">2011-08-26T12:21:20Z</dcterms:modified>
  <cp:category/>
  <cp:version/>
  <cp:contentType/>
  <cp:contentStatus/>
</cp:coreProperties>
</file>