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'Лист1'!$A$1:$M$136</definedName>
  </definedNames>
  <calcPr fullCalcOnLoad="1"/>
</workbook>
</file>

<file path=xl/sharedStrings.xml><?xml version="1.0" encoding="utf-8"?>
<sst xmlns="http://schemas.openxmlformats.org/spreadsheetml/2006/main" count="236" uniqueCount="217">
  <si>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</si>
  <si>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</si>
  <si>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</si>
  <si>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</si>
  <si>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</si>
  <si>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</si>
  <si>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</si>
  <si>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</si>
  <si>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</si>
  <si>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</si>
  <si>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</si>
  <si>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</si>
  <si>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</si>
  <si>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</si>
  <si>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</si>
  <si>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</si>
  <si>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</si>
  <si>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</si>
  <si>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</si>
  <si>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</si>
  <si>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</si>
  <si>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</si>
  <si>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</si>
  <si>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</si>
  <si>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</si>
  <si>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</si>
  <si>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</si>
  <si>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</si>
  <si>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</si>
  <si>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</si>
  <si>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</si>
  <si>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</si>
  <si>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</si>
  <si>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</si>
  <si>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</si>
  <si>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</si>
  <si>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</si>
  <si>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</si>
  <si>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</si>
  <si>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</si>
  <si>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</si>
  <si>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</si>
  <si>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</si>
  <si>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</si>
  <si>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</si>
  <si>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</si>
  <si>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</si>
  <si>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</si>
  <si>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</si>
  <si>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</si>
  <si>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</si>
  <si>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 xml:space="preserve">Загальноосвітні школи </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</si>
  <si>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</si>
  <si>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</si>
  <si>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</si>
  <si>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</si>
  <si>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</si>
  <si>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</si>
  <si>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</si>
  <si>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</si>
  <si>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</si>
  <si>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</si>
  <si>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</si>
  <si>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</si>
  <si>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</si>
  <si>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</si>
  <si>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</si>
  <si>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</si>
  <si>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</si>
  <si>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</si>
  <si>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</si>
  <si>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</si>
  <si>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</si>
  <si>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</si>
  <si>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</si>
  <si>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</si>
  <si>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</si>
  <si>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</si>
  <si>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</si>
  <si>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</si>
  <si>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</si>
  <si>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</si>
  <si>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</si>
  <si>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</si>
  <si>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</si>
  <si>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</si>
  <si>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</si>
  <si>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</si>
  <si>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</si>
  <si>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</si>
  <si>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</si>
  <si>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</si>
  <si>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</si>
  <si>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</si>
  <si>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</si>
  <si>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</si>
  <si>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</si>
  <si>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</si>
  <si>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</si>
  <si>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</si>
  <si>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</si>
  <si>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</si>
  <si>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</si>
  <si>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</si>
  <si>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</si>
  <si>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</si>
  <si>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</si>
  <si>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</si>
  <si>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130201</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</si>
  <si>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</si>
  <si>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</si>
  <si>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</si>
  <si>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</si>
  <si>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</si>
  <si>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</si>
  <si>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</si>
  <si>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</si>
  <si>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</si>
  <si>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</si>
  <si>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</si>
  <si>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</si>
  <si>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</si>
  <si>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</si>
  <si>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</si>
  <si>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</si>
  <si>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</si>
  <si>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</si>
  <si>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</si>
  <si>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</si>
  <si>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</si>
  <si>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</si>
  <si>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</si>
  <si>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</si>
  <si>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</si>
  <si>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</si>
  <si>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</si>
  <si>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</si>
  <si>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</si>
  <si>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</si>
  <si>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</si>
  <si>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</si>
  <si>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</si>
  <si>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</si>
  <si>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</si>
  <si>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</si>
  <si>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</si>
  <si>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</si>
  <si>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</si>
  <si>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</si>
  <si>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080300</t>
  </si>
  <si>
    <t>080600</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</si>
  <si>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</si>
  <si>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</si>
  <si>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</si>
  <si>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</si>
  <si>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</si>
  <si>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Поліклініки і амбулаторії ( крім спеціалізованих поліклінік та загальних і спеціалізованих стамотологічних поліклінік)</t>
  </si>
  <si>
    <t>Фельшерсько-акушеські пункти</t>
  </si>
  <si>
    <t>Лікарні</t>
  </si>
  <si>
    <t>180404</t>
  </si>
  <si>
    <t>Підтримка малого і середнього підприємництва</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</si>
  <si>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</si>
  <si>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</si>
  <si>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</si>
  <si>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</si>
  <si>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</si>
  <si>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Інші послуги, пов"язані з економічною діяльністю</t>
  </si>
  <si>
    <t xml:space="preserve">Разом </t>
  </si>
  <si>
    <t>Утримання апарату управління громадських фізкультурно - спортивних організацій  ФСТ "Колос"</t>
  </si>
  <si>
    <t>090411</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</si>
  <si>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</si>
  <si>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</si>
  <si>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091207</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</si>
  <si>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</si>
  <si>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</si>
  <si>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</si>
  <si>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</si>
  <si>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</si>
  <si>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</si>
  <si>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Уточнений обсяг видатків районного бюджету на 2011 рік за тимчасовою класифікацією видатків та кредитування місцевих бюджетів</t>
  </si>
  <si>
    <t>Періодичні видання (газети та журнали)</t>
  </si>
  <si>
    <t>Проведення навчально-тренувальних зборів і змагань (які проводяться громадськими організаціями фізкультурно-спортивної спрямованості)</t>
  </si>
  <si>
    <t>Централізовані  бухгалтерії обласних, міських, районних відділів освіти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</si>
  <si>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</si>
  <si>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</si>
  <si>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</si>
  <si>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</si>
  <si>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</si>
  <si>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150000</t>
  </si>
  <si>
    <t>Будівництво</t>
  </si>
  <si>
    <t>150115</t>
  </si>
  <si>
    <t>Завершення проектів газифікації сільських населених пунктів з високим ступенем готовності</t>
  </si>
  <si>
    <t>Видатки, не віднесені до основних груп</t>
  </si>
  <si>
    <t>250380</t>
  </si>
  <si>
    <t>Інші субвенції</t>
  </si>
  <si>
    <t>250342</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</si>
  <si>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</si>
  <si>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</si>
  <si>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</si>
  <si>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в т.ч. за рахунок субвенції з державного бюджету</t>
  </si>
  <si>
    <t>Цільові фонди</t>
  </si>
  <si>
    <t>Охорона та раціональне використання природних ресурсів</t>
  </si>
  <si>
    <t>250312</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</si>
  <si>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</si>
  <si>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250353</t>
  </si>
  <si>
    <t>Субвенція на проведення видатків місцевих бюджетів, що не враховуюються при визначенні обсягу міжбюджетних трансфертів</t>
  </si>
  <si>
    <t>250344</t>
  </si>
  <si>
    <t>Субвенція з місцевого бюджету державному бюджету на виконання програм соціально-економічного та культурного розвитку регіонів</t>
  </si>
  <si>
    <t>Програма стабілізації та соціально-економічного розвитку територій</t>
  </si>
  <si>
    <t>250352</t>
  </si>
  <si>
    <t>Субвенція на проведення  видатків місцевих бюджетів, що враховуються при визначенні обсягу міжбюджетних трансфертів</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</si>
  <si>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</si>
  <si>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</si>
  <si>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091206</t>
  </si>
  <si>
    <t>Центри соціальної реабілітації інвалідів, центри професійної реабілітації інвалідів</t>
  </si>
  <si>
    <t>Додаток 7</t>
  </si>
  <si>
    <t>від 16 грудня 2011року №2</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</si>
</sst>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4">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2"/>
      <color indexed="8"/>
      <name val="Times New Roman"/>
      <family val="1"/>
    </font>
    <font>
      <b/>
      <sz val="14"/>
      <name val="Times New Roman Cyr"/>
      <family val="0"/>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6"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08">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174" fontId="11"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top"/>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49" fontId="9" fillId="0" borderId="14" xfId="0" applyNumberFormat="1" applyFont="1" applyBorder="1" applyAlignment="1">
      <alignment horizontal="center" vertical="center" wrapText="1"/>
    </xf>
    <xf numFmtId="0" fontId="14" fillId="0" borderId="0" xfId="0" applyFont="1" applyAlignment="1">
      <alignment/>
    </xf>
    <xf numFmtId="49" fontId="9" fillId="0" borderId="0" xfId="0" applyNumberFormat="1" applyFont="1" applyAlignment="1">
      <alignment horizontal="center" vertical="justify" wrapText="1"/>
    </xf>
    <xf numFmtId="182" fontId="9"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justify"/>
      <protection locked="0"/>
    </xf>
    <xf numFmtId="49" fontId="17" fillId="0" borderId="0" xfId="0" applyNumberFormat="1" applyFont="1" applyBorder="1" applyAlignment="1" applyProtection="1">
      <alignment horizontal="center" vertical="justify"/>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8" fillId="0" borderId="0" xfId="0" applyFont="1" applyAlignment="1" applyProtection="1">
      <alignment horizontal="left" wrapText="1"/>
      <protection locked="0"/>
    </xf>
    <xf numFmtId="173"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0" fontId="15" fillId="0" borderId="0" xfId="0" applyFont="1" applyAlignment="1" applyProtection="1">
      <alignment horizontal="left" vertical="justify" wrapText="1"/>
      <protection locked="0"/>
    </xf>
    <xf numFmtId="173"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49" fontId="15" fillId="0" borderId="0" xfId="0" applyNumberFormat="1" applyFont="1" applyAlignment="1">
      <alignment horizontal="center" vertical="justify"/>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0" fontId="10" fillId="0" borderId="0" xfId="0" applyFont="1" applyAlignment="1">
      <alignment vertical="justify" wrapText="1"/>
    </xf>
    <xf numFmtId="174" fontId="10" fillId="0" borderId="0" xfId="0" applyNumberFormat="1" applyFont="1" applyAlignment="1">
      <alignment/>
    </xf>
    <xf numFmtId="174" fontId="9" fillId="0" borderId="0" xfId="0" applyNumberFormat="1" applyFont="1" applyAlignment="1">
      <alignment vertical="top"/>
    </xf>
    <xf numFmtId="174" fontId="13" fillId="0" borderId="0" xfId="0" applyNumberFormat="1" applyFont="1" applyAlignment="1" applyProtection="1">
      <alignment horizontal="left" vertical="justify"/>
      <protection locked="0"/>
    </xf>
    <xf numFmtId="0" fontId="0" fillId="0" borderId="0" xfId="0" applyFont="1" applyAlignment="1">
      <alignment/>
    </xf>
    <xf numFmtId="174" fontId="0" fillId="0" borderId="0" xfId="0" applyNumberFormat="1" applyFont="1" applyAlignment="1">
      <alignment vertical="justify"/>
    </xf>
    <xf numFmtId="49" fontId="10" fillId="0" borderId="0" xfId="0" applyNumberFormat="1" applyFont="1" applyAlignment="1">
      <alignment horizontal="center" vertical="top" wrapText="1"/>
    </xf>
    <xf numFmtId="0" fontId="9" fillId="0" borderId="0" xfId="0" applyFont="1" applyBorder="1" applyAlignment="1">
      <alignment vertical="center" wrapText="1"/>
    </xf>
    <xf numFmtId="0" fontId="14" fillId="0" borderId="0" xfId="0" applyFont="1" applyAlignment="1">
      <alignment vertical="justify" wrapText="1"/>
    </xf>
    <xf numFmtId="0" fontId="10" fillId="0" borderId="0" xfId="0" applyFont="1" applyAlignment="1">
      <alignment/>
    </xf>
    <xf numFmtId="0" fontId="19" fillId="0" borderId="0" xfId="0" applyFont="1" applyFill="1" applyAlignment="1">
      <alignment horizontal="left" vertical="top" wrapText="1"/>
    </xf>
    <xf numFmtId="0" fontId="9" fillId="0" borderId="0" xfId="0" applyFont="1" applyBorder="1" applyAlignment="1">
      <alignment vertical="top" wrapText="1"/>
    </xf>
    <xf numFmtId="182" fontId="10" fillId="0" borderId="0" xfId="0" applyNumberFormat="1" applyFont="1" applyAlignment="1">
      <alignment vertical="justify"/>
    </xf>
    <xf numFmtId="0" fontId="14" fillId="0" borderId="0" xfId="0" applyFont="1" applyAlignment="1">
      <alignment horizontal="left"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9"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39"/>
  <sheetViews>
    <sheetView tabSelected="1" view="pageBreakPreview" zoomScale="75" zoomScaleNormal="75" zoomScaleSheetLayoutView="75" zoomScalePageLayoutView="0" workbookViewId="0" topLeftCell="A1">
      <pane ySplit="4890" topLeftCell="A79" activePane="topLeft" state="split"/>
      <selection pane="topLeft" activeCell="L6" sqref="L6"/>
      <selection pane="bottomLeft" activeCell="C82" sqref="C82"/>
    </sheetView>
  </sheetViews>
  <sheetFormatPr defaultColWidth="9.00390625" defaultRowHeight="12.75"/>
  <cols>
    <col min="1" max="1" width="13.00390625" style="1" customWidth="1"/>
    <col min="2" max="2" width="60.875" style="1" customWidth="1"/>
    <col min="3" max="3" width="17.375" style="1" customWidth="1"/>
    <col min="4" max="4" width="13.25390625" style="1" customWidth="1"/>
    <col min="5" max="5" width="12.125" style="1" customWidth="1"/>
    <col min="6" max="6" width="14.00390625" style="1" customWidth="1"/>
    <col min="7" max="7" width="10.625" style="1" customWidth="1"/>
    <col min="8" max="8" width="9.37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4" spans="9:13" ht="15.75">
      <c r="I4" s="8"/>
      <c r="J4" s="8"/>
      <c r="L4" s="8" t="s">
        <v>215</v>
      </c>
      <c r="M4" s="8"/>
    </row>
    <row r="5" spans="9:13" ht="15.75">
      <c r="I5" s="8"/>
      <c r="J5" s="8"/>
      <c r="L5" s="8" t="s">
        <v>87</v>
      </c>
      <c r="M5" s="8"/>
    </row>
    <row r="6" spans="9:13" ht="15.75">
      <c r="I6" s="8"/>
      <c r="J6" s="8"/>
      <c r="L6" s="8" t="s">
        <v>216</v>
      </c>
      <c r="M6" s="8"/>
    </row>
    <row r="7" spans="1:13" ht="20.25">
      <c r="A7" s="102" t="s">
        <v>179</v>
      </c>
      <c r="B7" s="102"/>
      <c r="C7" s="102"/>
      <c r="D7" s="102"/>
      <c r="E7" s="102"/>
      <c r="F7" s="102"/>
      <c r="G7" s="102"/>
      <c r="H7" s="102"/>
      <c r="I7" s="102"/>
      <c r="J7" s="102"/>
      <c r="K7" s="102"/>
      <c r="L7" s="102"/>
      <c r="M7" s="102"/>
    </row>
    <row r="8" ht="13.5" thickBot="1">
      <c r="M8" s="1" t="s">
        <v>6</v>
      </c>
    </row>
    <row r="9" spans="1:13" ht="32.25" customHeight="1">
      <c r="A9" s="39" t="s">
        <v>135</v>
      </c>
      <c r="B9" s="50" t="s">
        <v>138</v>
      </c>
      <c r="C9" s="87" t="s">
        <v>29</v>
      </c>
      <c r="D9" s="107"/>
      <c r="E9" s="107"/>
      <c r="F9" s="87" t="s">
        <v>30</v>
      </c>
      <c r="G9" s="88"/>
      <c r="H9" s="88"/>
      <c r="I9" s="88"/>
      <c r="J9" s="88"/>
      <c r="K9" s="88"/>
      <c r="L9" s="89"/>
      <c r="M9" s="105" t="s">
        <v>167</v>
      </c>
    </row>
    <row r="10" spans="1:13" ht="12.75" customHeight="1">
      <c r="A10" s="96" t="s">
        <v>136</v>
      </c>
      <c r="B10" s="99" t="s">
        <v>139</v>
      </c>
      <c r="C10" s="84" t="s">
        <v>2</v>
      </c>
      <c r="D10" s="104" t="s">
        <v>3</v>
      </c>
      <c r="E10" s="104"/>
      <c r="F10" s="103" t="s">
        <v>2</v>
      </c>
      <c r="G10" s="104" t="s">
        <v>31</v>
      </c>
      <c r="H10" s="104" t="s">
        <v>3</v>
      </c>
      <c r="I10" s="104"/>
      <c r="J10" s="104" t="s">
        <v>32</v>
      </c>
      <c r="K10" s="90" t="s">
        <v>144</v>
      </c>
      <c r="L10" s="91"/>
      <c r="M10" s="106"/>
    </row>
    <row r="11" spans="1:13" ht="12.75" customHeight="1">
      <c r="A11" s="97"/>
      <c r="B11" s="100"/>
      <c r="C11" s="85"/>
      <c r="D11" s="94" t="s">
        <v>4</v>
      </c>
      <c r="E11" s="94" t="s">
        <v>5</v>
      </c>
      <c r="F11" s="103"/>
      <c r="G11" s="104"/>
      <c r="H11" s="94" t="s">
        <v>4</v>
      </c>
      <c r="I11" s="94" t="s">
        <v>5</v>
      </c>
      <c r="J11" s="104"/>
      <c r="K11" s="92" t="s">
        <v>145</v>
      </c>
      <c r="L11" s="54" t="s">
        <v>144</v>
      </c>
      <c r="M11" s="106"/>
    </row>
    <row r="12" spans="1:13" ht="137.25" customHeight="1">
      <c r="A12" s="98"/>
      <c r="B12" s="101"/>
      <c r="C12" s="86"/>
      <c r="D12" s="95"/>
      <c r="E12" s="95"/>
      <c r="F12" s="103"/>
      <c r="G12" s="104"/>
      <c r="H12" s="95"/>
      <c r="I12" s="95"/>
      <c r="J12" s="104"/>
      <c r="K12" s="93"/>
      <c r="L12" s="54" t="s">
        <v>146</v>
      </c>
      <c r="M12" s="106"/>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23.25" customHeight="1">
      <c r="A14" s="56" t="s">
        <v>147</v>
      </c>
      <c r="B14" s="55" t="s">
        <v>148</v>
      </c>
      <c r="C14" s="8"/>
      <c r="D14" s="8"/>
      <c r="E14" s="8"/>
      <c r="M14" s="27"/>
    </row>
    <row r="15" spans="1:13" ht="15.75">
      <c r="A15" s="41" t="s">
        <v>137</v>
      </c>
      <c r="B15" s="10" t="s">
        <v>26</v>
      </c>
      <c r="C15" s="25">
        <f>847.6+189.627+22.466+70+0.7-0.48+149-50-6+63.864</f>
        <v>1286.777</v>
      </c>
      <c r="D15" s="25">
        <f>509.811-25.896</f>
        <v>483.91499999999996</v>
      </c>
      <c r="E15" s="25">
        <f>57+5+31-15</f>
        <v>78</v>
      </c>
      <c r="F15" s="25">
        <f>G15+J15</f>
        <v>363.718</v>
      </c>
      <c r="G15" s="25">
        <v>1.8</v>
      </c>
      <c r="H15" s="25"/>
      <c r="I15" s="25"/>
      <c r="J15" s="25">
        <f>322.373+16.425+5.3+0.48+6+11.34</f>
        <v>361.918</v>
      </c>
      <c r="K15" s="25">
        <f>322.373+16.425+5.3+0.48+6+11.34</f>
        <v>361.918</v>
      </c>
      <c r="L15" s="25">
        <f>322.373+16.425+5.3+0.48+6+11.34</f>
        <v>361.918</v>
      </c>
      <c r="M15" s="25">
        <f>C15+F15</f>
        <v>1650.4950000000001</v>
      </c>
    </row>
    <row r="16" spans="1:13" ht="15.75">
      <c r="A16" s="41"/>
      <c r="B16" s="10" t="s">
        <v>199</v>
      </c>
      <c r="C16" s="25">
        <v>51.002</v>
      </c>
      <c r="D16" s="25"/>
      <c r="E16" s="25"/>
      <c r="F16" s="25"/>
      <c r="G16" s="25"/>
      <c r="H16" s="25"/>
      <c r="I16" s="25"/>
      <c r="J16" s="25"/>
      <c r="K16" s="25"/>
      <c r="L16" s="25"/>
      <c r="M16" s="25">
        <f>C16+F16</f>
        <v>51.002</v>
      </c>
    </row>
    <row r="17" spans="1:13" ht="18.75">
      <c r="A17" s="41"/>
      <c r="B17" s="73" t="s">
        <v>8</v>
      </c>
      <c r="C17" s="28">
        <f>C15</f>
        <v>1286.777</v>
      </c>
      <c r="D17" s="28">
        <f>D15</f>
        <v>483.91499999999996</v>
      </c>
      <c r="E17" s="28">
        <f>E15</f>
        <v>78</v>
      </c>
      <c r="F17" s="28">
        <f>G17+J17</f>
        <v>363.718</v>
      </c>
      <c r="G17" s="28">
        <f aca="true" t="shared" si="0" ref="G17:L17">G15</f>
        <v>1.8</v>
      </c>
      <c r="H17" s="28">
        <f t="shared" si="0"/>
        <v>0</v>
      </c>
      <c r="I17" s="28">
        <f t="shared" si="0"/>
        <v>0</v>
      </c>
      <c r="J17" s="28">
        <f>J15</f>
        <v>361.918</v>
      </c>
      <c r="K17" s="28">
        <f t="shared" si="0"/>
        <v>361.918</v>
      </c>
      <c r="L17" s="28">
        <f t="shared" si="0"/>
        <v>361.918</v>
      </c>
      <c r="M17" s="28">
        <f>F17+C17</f>
        <v>1650.4950000000001</v>
      </c>
    </row>
    <row r="18" spans="1:13" ht="18.75">
      <c r="A18" s="58" t="s">
        <v>49</v>
      </c>
      <c r="B18" s="24" t="s">
        <v>9</v>
      </c>
      <c r="C18" s="25"/>
      <c r="D18" s="25"/>
      <c r="E18" s="25"/>
      <c r="F18" s="74"/>
      <c r="G18" s="25"/>
      <c r="H18" s="25"/>
      <c r="I18" s="25"/>
      <c r="J18" s="25"/>
      <c r="K18" s="25"/>
      <c r="L18" s="25"/>
      <c r="M18" s="25">
        <f aca="true" t="shared" si="1" ref="M18:M79">F18+C18</f>
        <v>0</v>
      </c>
    </row>
    <row r="19" spans="1:13" ht="15.75">
      <c r="A19" s="45" t="s">
        <v>50</v>
      </c>
      <c r="B19" s="35" t="s">
        <v>51</v>
      </c>
      <c r="C19" s="25">
        <f>34570.122-100+4+116.818+2.5+635.681+100-100+40+8+483.154-43-218.5+1.2-15+104.21+51.5+84.996</f>
        <v>35725.681</v>
      </c>
      <c r="D19" s="25">
        <f>20839.311+383.48-199.51-27.44-1.2+33</f>
        <v>21027.641000000003</v>
      </c>
      <c r="E19" s="25">
        <f>4175-100+100-100+40+406.15-43+55.6+109+84.996</f>
        <v>4727.746</v>
      </c>
      <c r="F19" s="25">
        <f>G19+J19</f>
        <v>556.6659999999999</v>
      </c>
      <c r="G19" s="25">
        <v>6.3</v>
      </c>
      <c r="H19" s="25"/>
      <c r="I19" s="25"/>
      <c r="J19" s="25">
        <f>7+300.388+9.8+100+2.5-235.014+93+235.484+37.208</f>
        <v>550.366</v>
      </c>
      <c r="K19" s="25">
        <f>7+300.388+9.8+100+2.5-235.014+93+235.484+37.208</f>
        <v>550.366</v>
      </c>
      <c r="L19" s="25">
        <f>307.388-7+9.8+100+2.5-235.014+93+231.484+37.208</f>
        <v>539.366</v>
      </c>
      <c r="M19" s="25">
        <f t="shared" si="1"/>
        <v>36282.346999999994</v>
      </c>
    </row>
    <row r="20" spans="1:13" ht="33.75" customHeight="1">
      <c r="A20" s="47" t="s">
        <v>52</v>
      </c>
      <c r="B20" s="34" t="s">
        <v>178</v>
      </c>
      <c r="C20" s="25">
        <f>1311.3+8.76+49.067-27.69-3.6-1.2</f>
        <v>1336.637</v>
      </c>
      <c r="D20" s="25">
        <f>800.6+36-37.49-1.53</f>
        <v>797.58</v>
      </c>
      <c r="E20" s="25">
        <f>74.3+15.1</f>
        <v>89.39999999999999</v>
      </c>
      <c r="F20" s="25">
        <f>G20+J20</f>
        <v>35</v>
      </c>
      <c r="G20" s="25">
        <v>35</v>
      </c>
      <c r="H20" s="25"/>
      <c r="I20" s="25"/>
      <c r="J20" s="25"/>
      <c r="K20" s="25"/>
      <c r="L20" s="25"/>
      <c r="M20" s="25">
        <f t="shared" si="1"/>
        <v>1371.637</v>
      </c>
    </row>
    <row r="21" spans="1:13" ht="15.75">
      <c r="A21" s="45" t="s">
        <v>53</v>
      </c>
      <c r="B21" s="35" t="s">
        <v>176</v>
      </c>
      <c r="C21" s="25">
        <f>1193+24.686+47.335-73.92-12.9</f>
        <v>1178.2009999999998</v>
      </c>
      <c r="D21" s="25">
        <f>724.241+34.73-67.6-5.9</f>
        <v>685.471</v>
      </c>
      <c r="E21" s="25">
        <f>122+16.1</f>
        <v>138.1</v>
      </c>
      <c r="F21" s="25"/>
      <c r="G21" s="25"/>
      <c r="H21" s="25"/>
      <c r="I21" s="25"/>
      <c r="J21" s="25"/>
      <c r="K21" s="25"/>
      <c r="L21" s="25"/>
      <c r="M21" s="25">
        <f t="shared" si="1"/>
        <v>1178.2009999999998</v>
      </c>
    </row>
    <row r="22" spans="1:13" ht="31.5">
      <c r="A22" s="47" t="s">
        <v>54</v>
      </c>
      <c r="B22" s="32" t="s">
        <v>182</v>
      </c>
      <c r="C22" s="25">
        <f>548.793+4.827+6.259+12.1-0.5</f>
        <v>571.479</v>
      </c>
      <c r="D22" s="25">
        <f>358.616+4.592-3.5</f>
        <v>359.70799999999997</v>
      </c>
      <c r="E22" s="25">
        <f>28+12.1</f>
        <v>40.1</v>
      </c>
      <c r="F22" s="25"/>
      <c r="G22" s="25"/>
      <c r="H22" s="25"/>
      <c r="I22" s="25"/>
      <c r="J22" s="25"/>
      <c r="K22" s="25"/>
      <c r="L22" s="25"/>
      <c r="M22" s="25">
        <f t="shared" si="1"/>
        <v>571.479</v>
      </c>
    </row>
    <row r="23" spans="1:13" ht="21" customHeight="1">
      <c r="A23" s="45" t="s">
        <v>55</v>
      </c>
      <c r="B23" s="32" t="s">
        <v>177</v>
      </c>
      <c r="C23" s="25">
        <f>371.885+6.469+4.408+2-2</f>
        <v>382.762</v>
      </c>
      <c r="D23" s="25">
        <f>231.062+3.234</f>
        <v>234.29600000000002</v>
      </c>
      <c r="E23" s="25"/>
      <c r="F23" s="25"/>
      <c r="G23" s="25"/>
      <c r="H23" s="25"/>
      <c r="I23" s="25"/>
      <c r="J23" s="25"/>
      <c r="K23" s="25"/>
      <c r="L23" s="25"/>
      <c r="M23" s="25">
        <f t="shared" si="1"/>
        <v>382.762</v>
      </c>
    </row>
    <row r="24" spans="1:13" ht="15.75">
      <c r="A24" s="45" t="s">
        <v>56</v>
      </c>
      <c r="B24" s="35" t="s">
        <v>57</v>
      </c>
      <c r="C24" s="25">
        <f>545.2+3.741+90.198+15+4.79+30</f>
        <v>688.929</v>
      </c>
      <c r="D24" s="25"/>
      <c r="E24" s="25"/>
      <c r="F24" s="25">
        <f>G24+J24</f>
        <v>93.80199999999999</v>
      </c>
      <c r="G24" s="25"/>
      <c r="H24" s="25"/>
      <c r="I24" s="25"/>
      <c r="J24" s="25">
        <f>80+18-4.198</f>
        <v>93.80199999999999</v>
      </c>
      <c r="K24" s="25">
        <f>80+18-4.198</f>
        <v>93.80199999999999</v>
      </c>
      <c r="L24" s="25">
        <f>80+18-4.198</f>
        <v>93.80199999999999</v>
      </c>
      <c r="M24" s="25">
        <f t="shared" si="1"/>
        <v>782.731</v>
      </c>
    </row>
    <row r="25" spans="1:13" ht="31.5">
      <c r="A25" s="47" t="s">
        <v>58</v>
      </c>
      <c r="B25" s="32" t="s">
        <v>121</v>
      </c>
      <c r="C25" s="25">
        <v>27.03</v>
      </c>
      <c r="D25" s="25"/>
      <c r="E25" s="25"/>
      <c r="F25" s="25"/>
      <c r="G25" s="25"/>
      <c r="H25" s="25"/>
      <c r="I25" s="25"/>
      <c r="J25" s="25"/>
      <c r="K25" s="25"/>
      <c r="L25" s="25"/>
      <c r="M25" s="25">
        <f t="shared" si="1"/>
        <v>27.03</v>
      </c>
    </row>
    <row r="26" spans="1:13" ht="31.5">
      <c r="A26" s="42" t="s">
        <v>86</v>
      </c>
      <c r="B26" s="18" t="s">
        <v>101</v>
      </c>
      <c r="C26" s="25">
        <f>162.1+32.653+3.852+2.501</f>
        <v>201.106</v>
      </c>
      <c r="D26" s="25"/>
      <c r="E26" s="25"/>
      <c r="F26" s="74"/>
      <c r="G26" s="25"/>
      <c r="H26" s="25"/>
      <c r="I26" s="25"/>
      <c r="J26" s="25"/>
      <c r="K26" s="25"/>
      <c r="L26" s="25"/>
      <c r="M26" s="25">
        <f t="shared" si="1"/>
        <v>201.106</v>
      </c>
    </row>
    <row r="27" spans="1:13" ht="15.75">
      <c r="A27" s="48"/>
      <c r="B27" s="9" t="s">
        <v>2</v>
      </c>
      <c r="C27" s="28">
        <f>C19+C20+C21+C22+C23+C24+C25+C26</f>
        <v>40111.825</v>
      </c>
      <c r="D27" s="28">
        <f>D19+D20+D21+D22+D23+D24+D25+D26</f>
        <v>23104.696000000004</v>
      </c>
      <c r="E27" s="28">
        <f>E19+E20+E21+E22+E23+E24+E25+E26</f>
        <v>4995.3460000000005</v>
      </c>
      <c r="F27" s="28">
        <f>G27+J27</f>
        <v>685.468</v>
      </c>
      <c r="G27" s="28">
        <f aca="true" t="shared" si="2" ref="G27:L27">G19+G20+G21+G22+G23+G24+G25+G26</f>
        <v>41.3</v>
      </c>
      <c r="H27" s="28">
        <f t="shared" si="2"/>
        <v>0</v>
      </c>
      <c r="I27" s="28">
        <f t="shared" si="2"/>
        <v>0</v>
      </c>
      <c r="J27" s="28">
        <f>J19+J20+J21+J22+J23+J24+J25+J26</f>
        <v>644.168</v>
      </c>
      <c r="K27" s="28">
        <f>K19+K20+K21+K22+K23+K24+K25+K26</f>
        <v>644.168</v>
      </c>
      <c r="L27" s="28">
        <f t="shared" si="2"/>
        <v>633.168</v>
      </c>
      <c r="M27" s="28">
        <f t="shared" si="1"/>
        <v>40797.293</v>
      </c>
    </row>
    <row r="28" spans="1:13" ht="18.75">
      <c r="A28" s="59" t="s">
        <v>36</v>
      </c>
      <c r="B28" s="60" t="s">
        <v>37</v>
      </c>
      <c r="C28" s="25"/>
      <c r="D28" s="25"/>
      <c r="E28" s="25"/>
      <c r="F28" s="74"/>
      <c r="G28" s="25"/>
      <c r="H28" s="25"/>
      <c r="I28" s="25"/>
      <c r="J28" s="25"/>
      <c r="K28" s="25"/>
      <c r="L28" s="25"/>
      <c r="M28" s="25">
        <f t="shared" si="1"/>
        <v>0</v>
      </c>
    </row>
    <row r="29" spans="1:13" ht="15.75">
      <c r="A29" s="45" t="s">
        <v>38</v>
      </c>
      <c r="B29" s="32" t="s">
        <v>158</v>
      </c>
      <c r="C29" s="25">
        <f>14127.4+20+284.2+41.025-47.1+14+213.5+9</f>
        <v>14662.025</v>
      </c>
      <c r="D29" s="25">
        <f>7362.6+145.5-118.9+40+100</f>
        <v>7529.200000000001</v>
      </c>
      <c r="E29" s="25">
        <f>1378.4+73+25+83.5</f>
        <v>1559.9</v>
      </c>
      <c r="F29" s="25">
        <f>G29+J29</f>
        <v>368</v>
      </c>
      <c r="G29" s="25">
        <v>350</v>
      </c>
      <c r="H29" s="25">
        <v>100</v>
      </c>
      <c r="I29" s="25">
        <v>6</v>
      </c>
      <c r="J29" s="25">
        <v>18</v>
      </c>
      <c r="K29" s="25">
        <v>18</v>
      </c>
      <c r="L29" s="25">
        <v>18</v>
      </c>
      <c r="M29" s="25">
        <f t="shared" si="1"/>
        <v>15030.025</v>
      </c>
    </row>
    <row r="30" spans="1:13" ht="31.5">
      <c r="A30" s="47" t="s">
        <v>149</v>
      </c>
      <c r="B30" s="32" t="s">
        <v>156</v>
      </c>
      <c r="C30" s="25">
        <f>927.207+14.1+87.8+76-76-3.57</f>
        <v>1025.537</v>
      </c>
      <c r="D30" s="25">
        <f>580.6+10+60+30</f>
        <v>680.6</v>
      </c>
      <c r="E30" s="25">
        <f>94.2+5+4.5</f>
        <v>103.7</v>
      </c>
      <c r="F30" s="25">
        <f>G30+J30</f>
        <v>99.07</v>
      </c>
      <c r="G30" s="25"/>
      <c r="H30" s="25"/>
      <c r="I30" s="25"/>
      <c r="J30" s="25">
        <f>79.07+20</f>
        <v>99.07</v>
      </c>
      <c r="K30" s="25">
        <f>79.07+20</f>
        <v>99.07</v>
      </c>
      <c r="L30" s="25">
        <f>79.07+20</f>
        <v>99.07</v>
      </c>
      <c r="M30" s="25">
        <f t="shared" si="1"/>
        <v>1124.607</v>
      </c>
    </row>
    <row r="31" spans="1:13" ht="15.75">
      <c r="A31" s="45" t="s">
        <v>150</v>
      </c>
      <c r="B31" s="32" t="s">
        <v>157</v>
      </c>
      <c r="C31" s="25">
        <f>888+13.6+35.3-89.5</f>
        <v>847.4</v>
      </c>
      <c r="D31" s="25">
        <f>532.4+10-32.7-70</f>
        <v>439.7</v>
      </c>
      <c r="E31" s="25">
        <f>99.1+5.5</f>
        <v>104.6</v>
      </c>
      <c r="F31" s="25"/>
      <c r="G31" s="25"/>
      <c r="H31" s="25"/>
      <c r="I31" s="25"/>
      <c r="J31" s="25"/>
      <c r="K31" s="25"/>
      <c r="L31" s="25"/>
      <c r="M31" s="25">
        <f t="shared" si="1"/>
        <v>847.4</v>
      </c>
    </row>
    <row r="32" spans="1:13" ht="15.75">
      <c r="A32" s="44"/>
      <c r="B32" s="9" t="s">
        <v>2</v>
      </c>
      <c r="C32" s="28">
        <f>C29+C30+C31</f>
        <v>16534.962</v>
      </c>
      <c r="D32" s="28">
        <f>D29+D30+D31</f>
        <v>8649.500000000002</v>
      </c>
      <c r="E32" s="28">
        <f>E29+E30+E31</f>
        <v>1768.2</v>
      </c>
      <c r="F32" s="28">
        <f>G32+J32</f>
        <v>467.07</v>
      </c>
      <c r="G32" s="28">
        <f aca="true" t="shared" si="3" ref="G32:L32">G29+G30+G31</f>
        <v>350</v>
      </c>
      <c r="H32" s="28">
        <f t="shared" si="3"/>
        <v>100</v>
      </c>
      <c r="I32" s="28">
        <f t="shared" si="3"/>
        <v>6</v>
      </c>
      <c r="J32" s="28">
        <f t="shared" si="3"/>
        <v>117.07</v>
      </c>
      <c r="K32" s="28">
        <f t="shared" si="3"/>
        <v>117.07</v>
      </c>
      <c r="L32" s="28">
        <f t="shared" si="3"/>
        <v>117.07</v>
      </c>
      <c r="M32" s="28">
        <f t="shared" si="1"/>
        <v>17002.032</v>
      </c>
    </row>
    <row r="33" spans="1:13" s="19" customFormat="1" ht="18.75">
      <c r="A33" s="59" t="s">
        <v>33</v>
      </c>
      <c r="B33" s="61" t="s">
        <v>7</v>
      </c>
      <c r="C33" s="28"/>
      <c r="D33" s="28"/>
      <c r="E33" s="28"/>
      <c r="F33" s="25"/>
      <c r="G33" s="28"/>
      <c r="H33" s="28"/>
      <c r="I33" s="28"/>
      <c r="J33" s="28"/>
      <c r="K33" s="28"/>
      <c r="L33" s="28"/>
      <c r="M33" s="25"/>
    </row>
    <row r="34" spans="1:13" s="19" customFormat="1" ht="209.25" customHeight="1">
      <c r="A34" s="42" t="s">
        <v>59</v>
      </c>
      <c r="B34" s="18" t="s">
        <v>102</v>
      </c>
      <c r="C34" s="25">
        <f>2551.6-127.295-2.5-3-50+122.782</f>
        <v>2491.587</v>
      </c>
      <c r="D34" s="28"/>
      <c r="E34" s="28"/>
      <c r="F34" s="74"/>
      <c r="G34" s="28"/>
      <c r="H34" s="28"/>
      <c r="I34" s="28"/>
      <c r="J34" s="28"/>
      <c r="K34" s="28"/>
      <c r="L34" s="28"/>
      <c r="M34" s="25">
        <f t="shared" si="1"/>
        <v>2491.587</v>
      </c>
    </row>
    <row r="35" spans="1:13" s="19" customFormat="1" ht="189">
      <c r="A35" s="42" t="s">
        <v>60</v>
      </c>
      <c r="B35" s="18" t="s">
        <v>89</v>
      </c>
      <c r="C35" s="53">
        <f>138.8-15.6935</f>
        <v>123.10650000000001</v>
      </c>
      <c r="D35" s="28"/>
      <c r="E35" s="28"/>
      <c r="F35" s="74"/>
      <c r="G35" s="28"/>
      <c r="H35" s="28"/>
      <c r="I35" s="28"/>
      <c r="J35" s="28"/>
      <c r="K35" s="28"/>
      <c r="L35" s="28"/>
      <c r="M35" s="53">
        <f t="shared" si="1"/>
        <v>123.10650000000001</v>
      </c>
    </row>
    <row r="36" spans="1:13" s="19" customFormat="1" ht="189">
      <c r="A36" s="42" t="s">
        <v>61</v>
      </c>
      <c r="B36" s="18" t="s">
        <v>90</v>
      </c>
      <c r="C36" s="53">
        <f>36.5-4-5+0.32+0.08-0.01409</f>
        <v>27.88591</v>
      </c>
      <c r="D36" s="28"/>
      <c r="E36" s="28"/>
      <c r="F36" s="75">
        <f>G36+J36</f>
        <v>0</v>
      </c>
      <c r="G36" s="28"/>
      <c r="H36" s="28"/>
      <c r="I36" s="28"/>
      <c r="J36" s="25">
        <f>4-4</f>
        <v>0</v>
      </c>
      <c r="K36" s="25">
        <f>4-4</f>
        <v>0</v>
      </c>
      <c r="L36" s="25">
        <f>4-4</f>
        <v>0</v>
      </c>
      <c r="M36" s="53">
        <f t="shared" si="1"/>
        <v>27.88591</v>
      </c>
    </row>
    <row r="37" spans="1:13" s="19" customFormat="1" ht="299.25">
      <c r="A37" s="42" t="s">
        <v>62</v>
      </c>
      <c r="B37" s="18" t="s">
        <v>128</v>
      </c>
      <c r="C37" s="25">
        <f>120+4-4.37</f>
        <v>119.63</v>
      </c>
      <c r="D37" s="28"/>
      <c r="E37" s="28"/>
      <c r="F37" s="74"/>
      <c r="G37" s="28"/>
      <c r="H37" s="28"/>
      <c r="I37" s="28"/>
      <c r="J37" s="28"/>
      <c r="K37" s="28"/>
      <c r="L37" s="28"/>
      <c r="M37" s="25">
        <f t="shared" si="1"/>
        <v>119.63</v>
      </c>
    </row>
    <row r="38" spans="1:13" s="19" customFormat="1" ht="252">
      <c r="A38" s="42"/>
      <c r="B38" s="40" t="s">
        <v>129</v>
      </c>
      <c r="C38" s="25"/>
      <c r="D38" s="28"/>
      <c r="E38" s="28"/>
      <c r="F38" s="74"/>
      <c r="G38" s="28"/>
      <c r="H38" s="28"/>
      <c r="I38" s="28"/>
      <c r="J38" s="28"/>
      <c r="K38" s="28"/>
      <c r="L38" s="28"/>
      <c r="M38" s="25"/>
    </row>
    <row r="39" spans="1:13" s="19" customFormat="1" ht="330.75">
      <c r="A39" s="42" t="s">
        <v>63</v>
      </c>
      <c r="B39" s="30" t="s">
        <v>131</v>
      </c>
      <c r="C39" s="25">
        <f>1.374+0.222-0.1</f>
        <v>1.496</v>
      </c>
      <c r="D39" s="28"/>
      <c r="E39" s="28"/>
      <c r="F39" s="74"/>
      <c r="G39" s="28"/>
      <c r="H39" s="28"/>
      <c r="I39" s="28"/>
      <c r="J39" s="28"/>
      <c r="K39" s="28"/>
      <c r="L39" s="28"/>
      <c r="M39" s="25">
        <f t="shared" si="1"/>
        <v>1.496</v>
      </c>
    </row>
    <row r="40" spans="1:13" s="19" customFormat="1" ht="51" customHeight="1">
      <c r="A40" s="42"/>
      <c r="B40" s="30" t="s">
        <v>130</v>
      </c>
      <c r="C40" s="25"/>
      <c r="D40" s="28"/>
      <c r="E40" s="28"/>
      <c r="F40" s="74"/>
      <c r="G40" s="28"/>
      <c r="H40" s="28"/>
      <c r="I40" s="28"/>
      <c r="J40" s="28"/>
      <c r="K40" s="28"/>
      <c r="L40" s="28"/>
      <c r="M40" s="25">
        <f t="shared" si="1"/>
        <v>0</v>
      </c>
    </row>
    <row r="41" spans="1:13" s="19" customFormat="1" ht="94.5">
      <c r="A41" s="42" t="s">
        <v>64</v>
      </c>
      <c r="B41" s="18" t="s">
        <v>104</v>
      </c>
      <c r="C41" s="25">
        <f>35+8+3.276</f>
        <v>46.275999999999996</v>
      </c>
      <c r="D41" s="28"/>
      <c r="E41" s="28"/>
      <c r="F41" s="74"/>
      <c r="G41" s="28"/>
      <c r="H41" s="28"/>
      <c r="I41" s="28"/>
      <c r="J41" s="28"/>
      <c r="K41" s="28"/>
      <c r="L41" s="28"/>
      <c r="M41" s="25">
        <f t="shared" si="1"/>
        <v>46.275999999999996</v>
      </c>
    </row>
    <row r="42" spans="1:13" s="19" customFormat="1" ht="94.5">
      <c r="A42" s="42" t="s">
        <v>65</v>
      </c>
      <c r="B42" s="18" t="s">
        <v>105</v>
      </c>
      <c r="C42" s="53">
        <f>1.718-0.222+0.0395</f>
        <v>1.5355</v>
      </c>
      <c r="D42" s="28"/>
      <c r="E42" s="28"/>
      <c r="F42" s="74"/>
      <c r="G42" s="28"/>
      <c r="H42" s="28"/>
      <c r="I42" s="28"/>
      <c r="J42" s="28"/>
      <c r="K42" s="28"/>
      <c r="L42" s="28"/>
      <c r="M42" s="53">
        <f t="shared" si="1"/>
        <v>1.5355</v>
      </c>
    </row>
    <row r="43" spans="1:13" s="19" customFormat="1" ht="78.75">
      <c r="A43" s="42" t="s">
        <v>66</v>
      </c>
      <c r="B43" s="18" t="s">
        <v>106</v>
      </c>
      <c r="C43" s="53">
        <f>1.5-0.32-0.08-0.58261</f>
        <v>0.5173899999999999</v>
      </c>
      <c r="D43" s="28"/>
      <c r="E43" s="28"/>
      <c r="F43" s="74"/>
      <c r="G43" s="28"/>
      <c r="H43" s="28"/>
      <c r="I43" s="28"/>
      <c r="J43" s="28"/>
      <c r="K43" s="28"/>
      <c r="L43" s="28"/>
      <c r="M43" s="53">
        <f t="shared" si="1"/>
        <v>0.5173899999999999</v>
      </c>
    </row>
    <row r="44" spans="1:13" s="19" customFormat="1" ht="173.25">
      <c r="A44" s="42" t="s">
        <v>67</v>
      </c>
      <c r="B44" s="18" t="s">
        <v>116</v>
      </c>
      <c r="C44" s="25">
        <f>250+8+56.206</f>
        <v>314.206</v>
      </c>
      <c r="D44" s="28"/>
      <c r="E44" s="28"/>
      <c r="F44" s="74"/>
      <c r="G44" s="28"/>
      <c r="H44" s="28"/>
      <c r="I44" s="28"/>
      <c r="J44" s="28"/>
      <c r="K44" s="28"/>
      <c r="L44" s="28"/>
      <c r="M44" s="25">
        <f t="shared" si="1"/>
        <v>314.206</v>
      </c>
    </row>
    <row r="45" spans="1:13" s="19" customFormat="1" ht="173.25">
      <c r="A45" s="42" t="s">
        <v>68</v>
      </c>
      <c r="B45" s="18" t="s">
        <v>117</v>
      </c>
      <c r="C45" s="25">
        <v>44.708</v>
      </c>
      <c r="D45" s="28"/>
      <c r="E45" s="28"/>
      <c r="F45" s="74"/>
      <c r="G45" s="28"/>
      <c r="H45" s="28"/>
      <c r="I45" s="28"/>
      <c r="J45" s="28"/>
      <c r="K45" s="28"/>
      <c r="L45" s="28"/>
      <c r="M45" s="25">
        <f t="shared" si="1"/>
        <v>44.708</v>
      </c>
    </row>
    <row r="46" spans="1:13" s="19" customFormat="1" ht="47.25">
      <c r="A46" s="42" t="s">
        <v>69</v>
      </c>
      <c r="B46" s="18" t="s">
        <v>91</v>
      </c>
      <c r="C46" s="25">
        <v>35.9</v>
      </c>
      <c r="D46" s="28"/>
      <c r="E46" s="28"/>
      <c r="F46" s="74"/>
      <c r="G46" s="28"/>
      <c r="H46" s="28"/>
      <c r="I46" s="28"/>
      <c r="J46" s="28"/>
      <c r="K46" s="28"/>
      <c r="L46" s="28"/>
      <c r="M46" s="25">
        <f t="shared" si="1"/>
        <v>35.9</v>
      </c>
    </row>
    <row r="47" spans="1:13" s="19" customFormat="1" ht="31.5">
      <c r="A47" s="42" t="s">
        <v>70</v>
      </c>
      <c r="B47" s="18" t="s">
        <v>92</v>
      </c>
      <c r="C47" s="53">
        <f>112.9-10+3.04-0.635</f>
        <v>105.305</v>
      </c>
      <c r="D47" s="28"/>
      <c r="E47" s="28"/>
      <c r="F47" s="74"/>
      <c r="G47" s="28"/>
      <c r="H47" s="28"/>
      <c r="I47" s="28"/>
      <c r="J47" s="28"/>
      <c r="K47" s="28"/>
      <c r="L47" s="28"/>
      <c r="M47" s="53">
        <f t="shared" si="1"/>
        <v>105.305</v>
      </c>
    </row>
    <row r="48" spans="1:13" s="19" customFormat="1" ht="31.5">
      <c r="A48" s="42" t="s">
        <v>133</v>
      </c>
      <c r="B48" s="18" t="s">
        <v>124</v>
      </c>
      <c r="C48" s="25">
        <f>300+50+17+4.37+52.736</f>
        <v>424.106</v>
      </c>
      <c r="D48" s="28"/>
      <c r="E48" s="28"/>
      <c r="F48" s="74"/>
      <c r="G48" s="28"/>
      <c r="H48" s="28"/>
      <c r="I48" s="28"/>
      <c r="J48" s="28"/>
      <c r="K48" s="28"/>
      <c r="L48" s="28"/>
      <c r="M48" s="25">
        <f t="shared" si="1"/>
        <v>424.106</v>
      </c>
    </row>
    <row r="49" spans="1:13" s="19" customFormat="1" ht="47.25">
      <c r="A49" s="42" t="s">
        <v>134</v>
      </c>
      <c r="B49" s="18" t="s">
        <v>140</v>
      </c>
      <c r="C49" s="53">
        <f>52.7-1.504+0.0605</f>
        <v>51.2565</v>
      </c>
      <c r="D49" s="28"/>
      <c r="E49" s="28"/>
      <c r="F49" s="74"/>
      <c r="G49" s="28"/>
      <c r="H49" s="28"/>
      <c r="I49" s="28"/>
      <c r="J49" s="28"/>
      <c r="K49" s="28"/>
      <c r="L49" s="28"/>
      <c r="M49" s="53">
        <f t="shared" si="1"/>
        <v>51.2565</v>
      </c>
    </row>
    <row r="50" spans="1:13" s="19" customFormat="1" ht="31.5">
      <c r="A50" s="42" t="s">
        <v>71</v>
      </c>
      <c r="B50" s="18" t="s">
        <v>93</v>
      </c>
      <c r="C50" s="53">
        <f>438.7-60-2.93978</f>
        <v>375.76022</v>
      </c>
      <c r="D50" s="28"/>
      <c r="E50" s="28"/>
      <c r="F50" s="74"/>
      <c r="G50" s="28"/>
      <c r="H50" s="28"/>
      <c r="I50" s="28"/>
      <c r="J50" s="28"/>
      <c r="K50" s="28"/>
      <c r="L50" s="28"/>
      <c r="M50" s="53">
        <f t="shared" si="1"/>
        <v>375.76022</v>
      </c>
    </row>
    <row r="51" spans="1:13" s="19" customFormat="1" ht="31.5">
      <c r="A51" s="42" t="s">
        <v>72</v>
      </c>
      <c r="B51" s="18" t="s">
        <v>94</v>
      </c>
      <c r="C51" s="53">
        <f>5102.8+170+23+540+533.586+9.9938+18.64248</f>
        <v>6398.022280000001</v>
      </c>
      <c r="D51" s="28"/>
      <c r="E51" s="28"/>
      <c r="F51" s="74"/>
      <c r="G51" s="28"/>
      <c r="H51" s="28"/>
      <c r="I51" s="28"/>
      <c r="J51" s="28"/>
      <c r="K51" s="28"/>
      <c r="L51" s="28"/>
      <c r="M51" s="53">
        <f t="shared" si="1"/>
        <v>6398.022280000001</v>
      </c>
    </row>
    <row r="52" spans="1:13" s="19" customFormat="1" ht="31.5">
      <c r="A52" s="42" t="s">
        <v>73</v>
      </c>
      <c r="B52" s="18" t="s">
        <v>141</v>
      </c>
      <c r="C52" s="25">
        <f>13390.9-95-23-983+733.974+570.331</f>
        <v>13594.205</v>
      </c>
      <c r="D52" s="28"/>
      <c r="E52" s="28"/>
      <c r="F52" s="74"/>
      <c r="G52" s="28"/>
      <c r="H52" s="28"/>
      <c r="I52" s="28"/>
      <c r="J52" s="28"/>
      <c r="K52" s="28"/>
      <c r="L52" s="28"/>
      <c r="M52" s="25">
        <f t="shared" si="1"/>
        <v>13594.205</v>
      </c>
    </row>
    <row r="53" spans="1:13" s="19" customFormat="1" ht="31.5">
      <c r="A53" s="42" t="s">
        <v>74</v>
      </c>
      <c r="B53" s="30" t="s">
        <v>118</v>
      </c>
      <c r="C53" s="53">
        <f>2157.5-192.4-70-18.67057+15.35361</f>
        <v>1891.7830399999998</v>
      </c>
      <c r="D53" s="28"/>
      <c r="E53" s="28"/>
      <c r="F53" s="74"/>
      <c r="G53" s="28"/>
      <c r="H53" s="28"/>
      <c r="I53" s="28"/>
      <c r="J53" s="28"/>
      <c r="K53" s="28"/>
      <c r="L53" s="28"/>
      <c r="M53" s="53">
        <f t="shared" si="1"/>
        <v>1891.7830399999998</v>
      </c>
    </row>
    <row r="54" spans="1:13" s="19" customFormat="1" ht="31.5">
      <c r="A54" s="42" t="s">
        <v>75</v>
      </c>
      <c r="B54" s="18" t="s">
        <v>95</v>
      </c>
      <c r="C54" s="25">
        <f>3758.3+55+350+352.052-2.53905</f>
        <v>4512.81295</v>
      </c>
      <c r="D54" s="28"/>
      <c r="E54" s="28"/>
      <c r="F54" s="74"/>
      <c r="G54" s="28"/>
      <c r="H54" s="28"/>
      <c r="I54" s="28"/>
      <c r="J54" s="28"/>
      <c r="K54" s="28"/>
      <c r="L54" s="28"/>
      <c r="M54" s="25">
        <f t="shared" si="1"/>
        <v>4512.81295</v>
      </c>
    </row>
    <row r="55" spans="1:13" s="19" customFormat="1" ht="31.5">
      <c r="A55" s="42" t="s">
        <v>76</v>
      </c>
      <c r="B55" s="18" t="s">
        <v>96</v>
      </c>
      <c r="C55" s="25">
        <f>333.5+185.4+19.90153</f>
        <v>538.80153</v>
      </c>
      <c r="D55" s="28"/>
      <c r="E55" s="28"/>
      <c r="F55" s="74"/>
      <c r="G55" s="28"/>
      <c r="H55" s="28"/>
      <c r="I55" s="28"/>
      <c r="J55" s="28"/>
      <c r="K55" s="28"/>
      <c r="L55" s="28"/>
      <c r="M55" s="25">
        <f t="shared" si="1"/>
        <v>538.80153</v>
      </c>
    </row>
    <row r="56" spans="1:13" s="19" customFormat="1" ht="31.5">
      <c r="A56" s="42" t="s">
        <v>122</v>
      </c>
      <c r="B56" s="18" t="s">
        <v>123</v>
      </c>
      <c r="C56" s="25">
        <f>44.7+7-5.692</f>
        <v>46.008</v>
      </c>
      <c r="D56" s="28"/>
      <c r="E56" s="28"/>
      <c r="F56" s="74"/>
      <c r="G56" s="28"/>
      <c r="H56" s="28"/>
      <c r="I56" s="28"/>
      <c r="J56" s="28"/>
      <c r="K56" s="28"/>
      <c r="L56" s="28"/>
      <c r="M56" s="25">
        <f t="shared" si="1"/>
        <v>46.008</v>
      </c>
    </row>
    <row r="57" spans="1:13" s="19" customFormat="1" ht="31.5">
      <c r="A57" s="42" t="s">
        <v>77</v>
      </c>
      <c r="B57" s="18" t="s">
        <v>97</v>
      </c>
      <c r="C57" s="53">
        <f>1709.7+93+138.45857+2.53905+33.02499</f>
        <v>1976.7226100000003</v>
      </c>
      <c r="D57" s="28"/>
      <c r="E57" s="28"/>
      <c r="F57" s="74"/>
      <c r="G57" s="28"/>
      <c r="H57" s="28"/>
      <c r="I57" s="28"/>
      <c r="J57" s="28"/>
      <c r="K57" s="28"/>
      <c r="L57" s="28"/>
      <c r="M57" s="53">
        <f t="shared" si="1"/>
        <v>1976.7226100000003</v>
      </c>
    </row>
    <row r="58" spans="1:13" s="19" customFormat="1" ht="47.25">
      <c r="A58" s="42" t="s">
        <v>78</v>
      </c>
      <c r="B58" s="18" t="s">
        <v>125</v>
      </c>
      <c r="C58" s="25">
        <f>216.9+77.295+2.5+3+13+125</f>
        <v>437.695</v>
      </c>
      <c r="D58" s="28"/>
      <c r="E58" s="28"/>
      <c r="F58" s="74"/>
      <c r="G58" s="28"/>
      <c r="H58" s="28"/>
      <c r="I58" s="28"/>
      <c r="J58" s="28"/>
      <c r="K58" s="28"/>
      <c r="L58" s="28"/>
      <c r="M58" s="25">
        <f t="shared" si="1"/>
        <v>437.695</v>
      </c>
    </row>
    <row r="59" spans="1:13" s="19" customFormat="1" ht="63">
      <c r="A59" s="42" t="s">
        <v>115</v>
      </c>
      <c r="B59" s="18" t="s">
        <v>126</v>
      </c>
      <c r="C59" s="53">
        <f>153.2+17.1975+23.1</f>
        <v>193.49749999999997</v>
      </c>
      <c r="D59" s="28"/>
      <c r="E59" s="28"/>
      <c r="F59" s="74"/>
      <c r="G59" s="28"/>
      <c r="H59" s="28"/>
      <c r="I59" s="28"/>
      <c r="J59" s="28"/>
      <c r="K59" s="28"/>
      <c r="L59" s="28"/>
      <c r="M59" s="53">
        <f t="shared" si="1"/>
        <v>193.49749999999997</v>
      </c>
    </row>
    <row r="60" spans="1:13" s="19" customFormat="1" ht="33.75" customHeight="1">
      <c r="A60" s="42" t="s">
        <v>169</v>
      </c>
      <c r="B60" s="18" t="s">
        <v>186</v>
      </c>
      <c r="C60" s="25">
        <f>18.6</f>
        <v>18.6</v>
      </c>
      <c r="D60" s="28"/>
      <c r="E60" s="28"/>
      <c r="F60" s="74"/>
      <c r="G60" s="28"/>
      <c r="H60" s="28"/>
      <c r="I60" s="28"/>
      <c r="J60" s="28"/>
      <c r="K60" s="28"/>
      <c r="L60" s="28"/>
      <c r="M60" s="25">
        <f t="shared" si="1"/>
        <v>18.6</v>
      </c>
    </row>
    <row r="61" spans="1:13" s="19" customFormat="1" ht="15.75">
      <c r="A61" s="42" t="s">
        <v>79</v>
      </c>
      <c r="B61" s="18" t="s">
        <v>80</v>
      </c>
      <c r="C61" s="25">
        <f>406.5-155.5-150+0.2-1.173+3.16174</f>
        <v>103.18874</v>
      </c>
      <c r="D61" s="28"/>
      <c r="E61" s="28"/>
      <c r="F61" s="74"/>
      <c r="G61" s="28"/>
      <c r="H61" s="28"/>
      <c r="I61" s="28"/>
      <c r="J61" s="28"/>
      <c r="K61" s="28"/>
      <c r="L61" s="28"/>
      <c r="M61" s="25">
        <f t="shared" si="1"/>
        <v>103.18874</v>
      </c>
    </row>
    <row r="62" spans="1:13" s="19" customFormat="1" ht="15.75">
      <c r="A62" s="42" t="s">
        <v>119</v>
      </c>
      <c r="B62" s="34" t="s">
        <v>120</v>
      </c>
      <c r="C62" s="25">
        <f>42+47-0.2-4.8</f>
        <v>84</v>
      </c>
      <c r="D62" s="28"/>
      <c r="E62" s="28"/>
      <c r="F62" s="74"/>
      <c r="G62" s="28"/>
      <c r="H62" s="28"/>
      <c r="I62" s="28"/>
      <c r="J62" s="28"/>
      <c r="K62" s="28"/>
      <c r="L62" s="28"/>
      <c r="M62" s="25">
        <f t="shared" si="1"/>
        <v>84</v>
      </c>
    </row>
    <row r="63" spans="1:13" s="19" customFormat="1" ht="31.5">
      <c r="A63" s="42" t="s">
        <v>81</v>
      </c>
      <c r="B63" s="10" t="s">
        <v>132</v>
      </c>
      <c r="C63" s="25">
        <f>13.5+1.5+3.2</f>
        <v>18.2</v>
      </c>
      <c r="D63" s="28"/>
      <c r="E63" s="28"/>
      <c r="F63" s="74"/>
      <c r="G63" s="28"/>
      <c r="H63" s="28"/>
      <c r="I63" s="28"/>
      <c r="J63" s="28"/>
      <c r="K63" s="28"/>
      <c r="L63" s="28"/>
      <c r="M63" s="25">
        <f t="shared" si="1"/>
        <v>18.2</v>
      </c>
    </row>
    <row r="64" spans="1:13" s="19" customFormat="1" ht="47.25">
      <c r="A64" s="42" t="s">
        <v>82</v>
      </c>
      <c r="B64" s="18" t="s">
        <v>98</v>
      </c>
      <c r="C64" s="25">
        <f>5.8-1-0.3</f>
        <v>4.5</v>
      </c>
      <c r="D64" s="28"/>
      <c r="E64" s="28"/>
      <c r="F64" s="74"/>
      <c r="G64" s="28"/>
      <c r="H64" s="28"/>
      <c r="I64" s="28"/>
      <c r="J64" s="28"/>
      <c r="K64" s="28"/>
      <c r="L64" s="28"/>
      <c r="M64" s="25">
        <f t="shared" si="1"/>
        <v>4.5</v>
      </c>
    </row>
    <row r="65" spans="1:13" s="19" customFormat="1" ht="35.25" customHeight="1">
      <c r="A65" s="42" t="s">
        <v>83</v>
      </c>
      <c r="B65" s="18" t="s">
        <v>185</v>
      </c>
      <c r="C65" s="25">
        <f>2913.788+40.4+78.1-8+12.5-14-36.76174-13.661</f>
        <v>2972.36526</v>
      </c>
      <c r="D65" s="25">
        <f>1789.842+57.3-46.30069-9.479</f>
        <v>1791.36231</v>
      </c>
      <c r="E65" s="25">
        <v>116.85</v>
      </c>
      <c r="F65" s="25">
        <f>G65+J65</f>
        <v>207.7</v>
      </c>
      <c r="G65" s="25">
        <v>110</v>
      </c>
      <c r="H65" s="25">
        <v>7</v>
      </c>
      <c r="I65" s="25"/>
      <c r="J65" s="25">
        <f>64.1+33.6</f>
        <v>97.69999999999999</v>
      </c>
      <c r="K65" s="25">
        <f>64.1+33.6</f>
        <v>97.69999999999999</v>
      </c>
      <c r="L65" s="25">
        <f>64.1+33.6</f>
        <v>97.69999999999999</v>
      </c>
      <c r="M65" s="25">
        <f t="shared" si="1"/>
        <v>3180.06526</v>
      </c>
    </row>
    <row r="66" spans="1:13" s="19" customFormat="1" ht="63">
      <c r="A66" s="42" t="s">
        <v>170</v>
      </c>
      <c r="B66" s="18" t="s">
        <v>171</v>
      </c>
      <c r="C66" s="25">
        <f>150-12.5-7.731</f>
        <v>129.769</v>
      </c>
      <c r="D66" s="25"/>
      <c r="E66" s="25"/>
      <c r="F66" s="25"/>
      <c r="G66" s="25"/>
      <c r="H66" s="25"/>
      <c r="I66" s="25"/>
      <c r="J66" s="25"/>
      <c r="K66" s="25"/>
      <c r="L66" s="25"/>
      <c r="M66" s="25">
        <f t="shared" si="1"/>
        <v>129.769</v>
      </c>
    </row>
    <row r="67" spans="1:13" s="19" customFormat="1" ht="31.5">
      <c r="A67" s="42" t="s">
        <v>213</v>
      </c>
      <c r="B67" s="18" t="s">
        <v>214</v>
      </c>
      <c r="C67" s="25">
        <v>13.661</v>
      </c>
      <c r="D67" s="25">
        <v>9.479</v>
      </c>
      <c r="E67" s="25"/>
      <c r="F67" s="25"/>
      <c r="G67" s="25"/>
      <c r="H67" s="25"/>
      <c r="I67" s="25"/>
      <c r="J67" s="25"/>
      <c r="K67" s="25"/>
      <c r="L67" s="25"/>
      <c r="M67" s="25"/>
    </row>
    <row r="68" spans="1:13" s="19" customFormat="1" ht="76.5" customHeight="1">
      <c r="A68" s="42" t="s">
        <v>172</v>
      </c>
      <c r="B68" s="18" t="s">
        <v>187</v>
      </c>
      <c r="C68" s="25">
        <f>136.9-36.1</f>
        <v>100.80000000000001</v>
      </c>
      <c r="D68" s="25"/>
      <c r="E68" s="25"/>
      <c r="F68" s="25"/>
      <c r="G68" s="25"/>
      <c r="H68" s="25"/>
      <c r="I68" s="25"/>
      <c r="J68" s="25"/>
      <c r="K68" s="25"/>
      <c r="L68" s="25"/>
      <c r="M68" s="25">
        <f t="shared" si="1"/>
        <v>100.80000000000001</v>
      </c>
    </row>
    <row r="69" spans="1:13" s="19" customFormat="1" ht="31.5">
      <c r="A69" s="42" t="s">
        <v>88</v>
      </c>
      <c r="B69" s="18" t="s">
        <v>173</v>
      </c>
      <c r="C69" s="25">
        <v>37.512</v>
      </c>
      <c r="D69" s="28"/>
      <c r="E69" s="28"/>
      <c r="F69" s="74"/>
      <c r="G69" s="28"/>
      <c r="H69" s="28"/>
      <c r="I69" s="28"/>
      <c r="J69" s="28"/>
      <c r="K69" s="28"/>
      <c r="L69" s="28"/>
      <c r="M69" s="25">
        <f t="shared" si="1"/>
        <v>37.512</v>
      </c>
    </row>
    <row r="70" spans="1:13" s="19" customFormat="1" ht="47.25">
      <c r="A70" s="42" t="s">
        <v>84</v>
      </c>
      <c r="B70" s="18" t="s">
        <v>99</v>
      </c>
      <c r="C70" s="53">
        <f>4181.3+253.3-16.71563</f>
        <v>4417.884370000001</v>
      </c>
      <c r="D70" s="28"/>
      <c r="E70" s="28"/>
      <c r="F70" s="74"/>
      <c r="G70" s="28"/>
      <c r="H70" s="28"/>
      <c r="I70" s="28"/>
      <c r="J70" s="28"/>
      <c r="K70" s="28"/>
      <c r="L70" s="28"/>
      <c r="M70" s="53">
        <f t="shared" si="1"/>
        <v>4417.884370000001</v>
      </c>
    </row>
    <row r="71" spans="1:13" s="19" customFormat="1" ht="57" customHeight="1">
      <c r="A71" s="42" t="s">
        <v>111</v>
      </c>
      <c r="B71" s="30" t="s">
        <v>112</v>
      </c>
      <c r="C71" s="25">
        <f>8.5-0.3</f>
        <v>8.2</v>
      </c>
      <c r="D71" s="28"/>
      <c r="E71" s="28"/>
      <c r="F71" s="74"/>
      <c r="G71" s="28"/>
      <c r="H71" s="28"/>
      <c r="I71" s="28"/>
      <c r="J71" s="28"/>
      <c r="K71" s="28"/>
      <c r="L71" s="28"/>
      <c r="M71" s="25">
        <f t="shared" si="1"/>
        <v>8.2</v>
      </c>
    </row>
    <row r="72" spans="1:13" s="19" customFormat="1" ht="31.5">
      <c r="A72" s="42" t="s">
        <v>85</v>
      </c>
      <c r="B72" s="18" t="s">
        <v>100</v>
      </c>
      <c r="C72" s="25">
        <f>0.9-0.5-0.1</f>
        <v>0.30000000000000004</v>
      </c>
      <c r="D72" s="28"/>
      <c r="E72" s="28"/>
      <c r="F72" s="74"/>
      <c r="G72" s="28"/>
      <c r="H72" s="28"/>
      <c r="I72" s="28"/>
      <c r="J72" s="28"/>
      <c r="K72" s="28"/>
      <c r="L72" s="28"/>
      <c r="M72" s="25">
        <f t="shared" si="1"/>
        <v>0.30000000000000004</v>
      </c>
    </row>
    <row r="73" spans="1:13" s="19" customFormat="1" ht="15.75">
      <c r="A73" s="45" t="s">
        <v>39</v>
      </c>
      <c r="B73" s="32" t="s">
        <v>40</v>
      </c>
      <c r="C73" s="25">
        <v>93.9</v>
      </c>
      <c r="D73" s="25">
        <f>64.497+3.5-0.8</f>
        <v>67.197</v>
      </c>
      <c r="E73" s="25">
        <v>1.7</v>
      </c>
      <c r="F73" s="74"/>
      <c r="G73" s="29"/>
      <c r="H73" s="29"/>
      <c r="I73" s="29"/>
      <c r="J73" s="29"/>
      <c r="K73" s="29"/>
      <c r="L73" s="29"/>
      <c r="M73" s="25">
        <f t="shared" si="1"/>
        <v>93.9</v>
      </c>
    </row>
    <row r="74" spans="1:13" s="19" customFormat="1" ht="15.75">
      <c r="A74" s="45"/>
      <c r="B74" s="32" t="s">
        <v>41</v>
      </c>
      <c r="C74" s="25"/>
      <c r="D74" s="25"/>
      <c r="E74" s="25"/>
      <c r="F74" s="25" t="s">
        <v>103</v>
      </c>
      <c r="G74" s="29"/>
      <c r="H74" s="29"/>
      <c r="I74" s="29"/>
      <c r="J74" s="29"/>
      <c r="K74" s="29"/>
      <c r="L74" s="29"/>
      <c r="M74" s="25" t="s">
        <v>103</v>
      </c>
    </row>
    <row r="75" spans="1:13" s="19" customFormat="1" ht="31.5">
      <c r="A75" s="46" t="s">
        <v>113</v>
      </c>
      <c r="B75" s="32" t="s">
        <v>114</v>
      </c>
      <c r="C75" s="25">
        <v>2.5</v>
      </c>
      <c r="D75" s="25"/>
      <c r="E75" s="25"/>
      <c r="F75" s="74"/>
      <c r="G75" s="29"/>
      <c r="H75" s="29"/>
      <c r="I75" s="29"/>
      <c r="J75" s="29"/>
      <c r="K75" s="29"/>
      <c r="L75" s="29"/>
      <c r="M75" s="25">
        <f t="shared" si="1"/>
        <v>2.5</v>
      </c>
    </row>
    <row r="76" spans="1:13" s="19" customFormat="1" ht="15.75">
      <c r="A76" s="45" t="s">
        <v>42</v>
      </c>
      <c r="B76" s="32" t="s">
        <v>43</v>
      </c>
      <c r="C76" s="25">
        <f>3+7</f>
        <v>10</v>
      </c>
      <c r="D76" s="25"/>
      <c r="E76" s="25"/>
      <c r="F76" s="74"/>
      <c r="G76" s="29"/>
      <c r="H76" s="29"/>
      <c r="I76" s="29"/>
      <c r="J76" s="29"/>
      <c r="K76" s="29"/>
      <c r="L76" s="29"/>
      <c r="M76" s="25">
        <f t="shared" si="1"/>
        <v>10</v>
      </c>
    </row>
    <row r="77" spans="1:13" s="19" customFormat="1" ht="15.75">
      <c r="A77" s="45"/>
      <c r="B77" s="32" t="s">
        <v>44</v>
      </c>
      <c r="C77" s="25"/>
      <c r="D77" s="25"/>
      <c r="E77" s="25"/>
      <c r="F77" s="74"/>
      <c r="G77" s="29"/>
      <c r="H77" s="29"/>
      <c r="I77" s="29"/>
      <c r="J77" s="29"/>
      <c r="K77" s="29"/>
      <c r="L77" s="29"/>
      <c r="M77" s="25" t="s">
        <v>103</v>
      </c>
    </row>
    <row r="78" spans="1:13" s="19" customFormat="1" ht="15.75">
      <c r="A78" s="45" t="s">
        <v>45</v>
      </c>
      <c r="B78" s="32" t="s">
        <v>107</v>
      </c>
      <c r="C78" s="25">
        <v>4</v>
      </c>
      <c r="D78" s="25"/>
      <c r="E78" s="25"/>
      <c r="F78" s="74"/>
      <c r="G78" s="29"/>
      <c r="H78" s="29"/>
      <c r="I78" s="29"/>
      <c r="J78" s="29"/>
      <c r="K78" s="29"/>
      <c r="L78" s="29"/>
      <c r="M78" s="25">
        <f t="shared" si="1"/>
        <v>4</v>
      </c>
    </row>
    <row r="79" spans="1:13" s="19" customFormat="1" ht="15.75">
      <c r="A79" s="45"/>
      <c r="B79" s="13" t="s">
        <v>8</v>
      </c>
      <c r="C79" s="82">
        <f>SUM(C34:C78)</f>
        <v>41772.2043</v>
      </c>
      <c r="D79" s="28">
        <f>SUM(D34:D78)</f>
        <v>1868.03831</v>
      </c>
      <c r="E79" s="28">
        <f aca="true" t="shared" si="4" ref="E79:L79">SUM(E34:E78)</f>
        <v>118.55</v>
      </c>
      <c r="F79" s="28">
        <f>G79+J79</f>
        <v>207.7</v>
      </c>
      <c r="G79" s="28">
        <f t="shared" si="4"/>
        <v>110</v>
      </c>
      <c r="H79" s="28">
        <f t="shared" si="4"/>
        <v>7</v>
      </c>
      <c r="I79" s="28">
        <f t="shared" si="4"/>
        <v>0</v>
      </c>
      <c r="J79" s="28">
        <f t="shared" si="4"/>
        <v>97.69999999999999</v>
      </c>
      <c r="K79" s="28">
        <f t="shared" si="4"/>
        <v>97.69999999999999</v>
      </c>
      <c r="L79" s="28">
        <f t="shared" si="4"/>
        <v>97.69999999999999</v>
      </c>
      <c r="M79" s="82">
        <f t="shared" si="1"/>
        <v>41979.904299999995</v>
      </c>
    </row>
    <row r="80" spans="1:13" s="19" customFormat="1" ht="15.75">
      <c r="A80" s="48" t="s">
        <v>11</v>
      </c>
      <c r="B80" s="9" t="s">
        <v>10</v>
      </c>
      <c r="C80" s="25"/>
      <c r="D80" s="25"/>
      <c r="E80" s="25"/>
      <c r="F80" s="74"/>
      <c r="G80" s="29"/>
      <c r="H80" s="29"/>
      <c r="I80" s="29"/>
      <c r="J80" s="29"/>
      <c r="K80" s="29"/>
      <c r="L80" s="29"/>
      <c r="M80" s="25"/>
    </row>
    <row r="81" spans="1:13" s="19" customFormat="1" ht="15.75">
      <c r="A81" s="41" t="s">
        <v>19</v>
      </c>
      <c r="B81" s="10" t="s">
        <v>12</v>
      </c>
      <c r="C81" s="25">
        <f>1296.515+10.594+27.2-5.49-1.05-1.565+11.5-0.1+4.8</f>
        <v>1342.4040000000002</v>
      </c>
      <c r="D81" s="25">
        <f>910.3+14.085-16.5-3-1.04+8.3</f>
        <v>912.145</v>
      </c>
      <c r="E81" s="25">
        <f>41.62+3+8+4+7+3</f>
        <v>66.62</v>
      </c>
      <c r="F81" s="25">
        <f>SUM(G81,J81)</f>
        <v>14.5</v>
      </c>
      <c r="G81" s="25">
        <v>0.7</v>
      </c>
      <c r="H81" s="25"/>
      <c r="I81" s="25"/>
      <c r="J81" s="25">
        <f>1.3+2.5+10</f>
        <v>13.8</v>
      </c>
      <c r="K81" s="20">
        <f>2.5+10</f>
        <v>12.5</v>
      </c>
      <c r="L81" s="25">
        <f>2.5+10</f>
        <v>12.5</v>
      </c>
      <c r="M81" s="25">
        <f aca="true" t="shared" si="5" ref="M81:M86">F81+C81</f>
        <v>1356.9040000000002</v>
      </c>
    </row>
    <row r="82" spans="1:13" s="19" customFormat="1" ht="15.75">
      <c r="A82" s="41" t="s">
        <v>20</v>
      </c>
      <c r="B82" s="10" t="s">
        <v>13</v>
      </c>
      <c r="C82" s="25">
        <f>267.785+4.7+3+1.55-5.15+0.145+3.5+4.8+0.1-4.8</f>
        <v>275.63000000000005</v>
      </c>
      <c r="D82" s="25">
        <f>175.66+3.45-0.7-3.3+0.75</f>
        <v>175.85999999999999</v>
      </c>
      <c r="E82" s="25">
        <f>26.7+3+2.5-1.5+2.5</f>
        <v>33.2</v>
      </c>
      <c r="F82" s="25"/>
      <c r="G82" s="25"/>
      <c r="H82" s="25"/>
      <c r="I82" s="25"/>
      <c r="J82" s="25"/>
      <c r="K82" s="29"/>
      <c r="L82" s="29"/>
      <c r="M82" s="25">
        <f t="shared" si="5"/>
        <v>275.63000000000005</v>
      </c>
    </row>
    <row r="83" spans="1:13" s="19" customFormat="1" ht="31.5">
      <c r="A83" s="42" t="s">
        <v>23</v>
      </c>
      <c r="B83" s="18" t="s">
        <v>28</v>
      </c>
      <c r="C83" s="25">
        <f>557.205+13.6-2.5+1.725-1+1.41-0.71</f>
        <v>569.73</v>
      </c>
      <c r="D83" s="25">
        <f>344.915+8.145-3-0.55</f>
        <v>349.51</v>
      </c>
      <c r="E83" s="25">
        <f>78.49+6.975+5.5-1</f>
        <v>89.96499999999999</v>
      </c>
      <c r="F83" s="25">
        <f>SUM(G83,J83)</f>
        <v>15.8</v>
      </c>
      <c r="G83" s="25">
        <v>11.8</v>
      </c>
      <c r="H83" s="74"/>
      <c r="I83" s="25">
        <v>0.8</v>
      </c>
      <c r="J83" s="25">
        <v>4</v>
      </c>
      <c r="K83" s="25">
        <v>4</v>
      </c>
      <c r="L83" s="25">
        <v>4</v>
      </c>
      <c r="M83" s="25">
        <f t="shared" si="5"/>
        <v>585.53</v>
      </c>
    </row>
    <row r="84" spans="1:13" s="19" customFormat="1" ht="15.75">
      <c r="A84" s="42" t="s">
        <v>0</v>
      </c>
      <c r="B84" s="18" t="s">
        <v>1</v>
      </c>
      <c r="C84" s="25">
        <f>526.604+26-19.46+3.61+1.42</f>
        <v>538.174</v>
      </c>
      <c r="D84" s="25">
        <f>365+19.075-14.49+3.2+1.04</f>
        <v>373.825</v>
      </c>
      <c r="E84" s="25">
        <f>25.15-1.7</f>
        <v>23.45</v>
      </c>
      <c r="F84" s="25">
        <f>SUM(G84,J84)</f>
        <v>41.25</v>
      </c>
      <c r="G84" s="25">
        <f>41.25-6.5</f>
        <v>34.75</v>
      </c>
      <c r="H84" s="25">
        <f>25.3-4.77</f>
        <v>20.53</v>
      </c>
      <c r="I84" s="25"/>
      <c r="J84" s="25">
        <v>6.5</v>
      </c>
      <c r="K84" s="29"/>
      <c r="L84" s="29"/>
      <c r="M84" s="25">
        <f t="shared" si="5"/>
        <v>579.424</v>
      </c>
    </row>
    <row r="85" spans="1:13" s="19" customFormat="1" ht="15.75">
      <c r="A85" s="41" t="s">
        <v>21</v>
      </c>
      <c r="B85" s="10" t="s">
        <v>14</v>
      </c>
      <c r="C85" s="25">
        <f>119+32.9+105.5-1.314-3-30+35</f>
        <v>258.08599999999996</v>
      </c>
      <c r="D85" s="25"/>
      <c r="E85" s="25"/>
      <c r="F85" s="25"/>
      <c r="G85" s="25"/>
      <c r="H85" s="25"/>
      <c r="I85" s="25"/>
      <c r="J85" s="25"/>
      <c r="K85" s="29"/>
      <c r="L85" s="29"/>
      <c r="M85" s="25">
        <f t="shared" si="5"/>
        <v>258.08599999999996</v>
      </c>
    </row>
    <row r="86" spans="1:13" s="19" customFormat="1" ht="15.75">
      <c r="A86" s="42" t="s">
        <v>24</v>
      </c>
      <c r="B86" s="18" t="s">
        <v>15</v>
      </c>
      <c r="C86" s="25">
        <f>196.04+5.6-4.725-3+22.333+3.3+1</f>
        <v>220.548</v>
      </c>
      <c r="D86" s="25">
        <f>127.76-2-3</f>
        <v>122.76</v>
      </c>
      <c r="E86" s="25">
        <f>12.505+0.5+2</f>
        <v>15.005</v>
      </c>
      <c r="F86" s="25">
        <f>SUM(G86,J86)</f>
        <v>9.75</v>
      </c>
      <c r="G86" s="25">
        <v>1.75</v>
      </c>
      <c r="H86" s="74"/>
      <c r="I86" s="25"/>
      <c r="J86" s="25">
        <v>8</v>
      </c>
      <c r="K86" s="25">
        <v>8</v>
      </c>
      <c r="L86" s="25">
        <v>8</v>
      </c>
      <c r="M86" s="25">
        <f t="shared" si="5"/>
        <v>230.298</v>
      </c>
    </row>
    <row r="87" spans="1:13" s="19" customFormat="1" ht="15.75">
      <c r="A87" s="42"/>
      <c r="B87" s="18"/>
      <c r="C87" s="25"/>
      <c r="D87" s="25"/>
      <c r="E87" s="25"/>
      <c r="F87" s="74"/>
      <c r="G87" s="29"/>
      <c r="H87" s="29"/>
      <c r="I87" s="29"/>
      <c r="J87" s="29"/>
      <c r="K87" s="29"/>
      <c r="L87" s="29"/>
      <c r="M87" s="25"/>
    </row>
    <row r="88" spans="1:13" s="19" customFormat="1" ht="15.75">
      <c r="A88" s="42"/>
      <c r="B88" s="17" t="s">
        <v>8</v>
      </c>
      <c r="C88" s="28">
        <f>C85+C86+C81+C82+C83+C84</f>
        <v>3204.572</v>
      </c>
      <c r="D88" s="28">
        <f aca="true" t="shared" si="6" ref="D88:L88">D85+D86+D81+D82+D83+D84</f>
        <v>1934.1</v>
      </c>
      <c r="E88" s="28">
        <f t="shared" si="6"/>
        <v>228.23999999999998</v>
      </c>
      <c r="F88" s="28">
        <f>F85+F86+F81+F82+F83+F84</f>
        <v>81.3</v>
      </c>
      <c r="G88" s="28">
        <f t="shared" si="6"/>
        <v>49</v>
      </c>
      <c r="H88" s="28">
        <f t="shared" si="6"/>
        <v>20.53</v>
      </c>
      <c r="I88" s="28">
        <f t="shared" si="6"/>
        <v>0.8</v>
      </c>
      <c r="J88" s="28">
        <f>J85+J86+J81+J82+J83+J84</f>
        <v>32.3</v>
      </c>
      <c r="K88" s="28">
        <f>K85+K86+K81+K82+K83+K84</f>
        <v>24.5</v>
      </c>
      <c r="L88" s="28">
        <f t="shared" si="6"/>
        <v>24.5</v>
      </c>
      <c r="M88" s="28">
        <f>C88+F88</f>
        <v>3285.8720000000003</v>
      </c>
    </row>
    <row r="89" spans="1:13" s="19" customFormat="1" ht="18.75">
      <c r="A89" s="62">
        <v>120000</v>
      </c>
      <c r="B89" s="57" t="s">
        <v>151</v>
      </c>
      <c r="C89" s="25"/>
      <c r="D89" s="25"/>
      <c r="E89" s="25"/>
      <c r="F89" s="25"/>
      <c r="G89" s="29"/>
      <c r="H89" s="29"/>
      <c r="I89" s="29"/>
      <c r="J89" s="29"/>
      <c r="K89" s="74"/>
      <c r="L89" s="74"/>
      <c r="M89" s="25"/>
    </row>
    <row r="90" spans="1:13" s="19" customFormat="1" ht="15.75">
      <c r="A90" s="42" t="s">
        <v>18</v>
      </c>
      <c r="B90" s="18" t="s">
        <v>34</v>
      </c>
      <c r="C90" s="25"/>
      <c r="D90" s="25"/>
      <c r="E90" s="25"/>
      <c r="F90" s="25"/>
      <c r="G90" s="29"/>
      <c r="H90" s="29"/>
      <c r="I90" s="29"/>
      <c r="J90" s="29"/>
      <c r="K90" s="74"/>
      <c r="L90" s="74"/>
      <c r="M90" s="25"/>
    </row>
    <row r="91" spans="1:13" s="19" customFormat="1" ht="15.75">
      <c r="A91" s="42" t="s">
        <v>27</v>
      </c>
      <c r="B91" s="31" t="s">
        <v>25</v>
      </c>
      <c r="C91" s="25">
        <f>38+12.8+5.705+21.5+1.2</f>
        <v>79.205</v>
      </c>
      <c r="D91" s="25"/>
      <c r="E91" s="25"/>
      <c r="F91" s="74"/>
      <c r="G91" s="29"/>
      <c r="H91" s="29"/>
      <c r="I91" s="29"/>
      <c r="J91" s="29"/>
      <c r="K91" s="74"/>
      <c r="L91" s="74"/>
      <c r="M91" s="25">
        <f>C91+F91</f>
        <v>79.205</v>
      </c>
    </row>
    <row r="92" spans="1:13" s="19" customFormat="1" ht="15.75">
      <c r="A92" s="42" t="s">
        <v>35</v>
      </c>
      <c r="B92" s="31" t="s">
        <v>180</v>
      </c>
      <c r="C92" s="25">
        <f>36+6+30-3.2</f>
        <v>68.8</v>
      </c>
      <c r="D92" s="25"/>
      <c r="E92" s="25"/>
      <c r="F92" s="74"/>
      <c r="G92" s="29"/>
      <c r="H92" s="29"/>
      <c r="I92" s="29"/>
      <c r="J92" s="29"/>
      <c r="K92" s="74"/>
      <c r="L92" s="74"/>
      <c r="M92" s="25">
        <f>C92+F92</f>
        <v>68.8</v>
      </c>
    </row>
    <row r="93" spans="1:13" s="19" customFormat="1" ht="15.75">
      <c r="A93" s="43"/>
      <c r="B93" s="9" t="s">
        <v>2</v>
      </c>
      <c r="C93" s="28">
        <f>C90+C91+C92</f>
        <v>148.005</v>
      </c>
      <c r="D93" s="74"/>
      <c r="E93" s="74"/>
      <c r="F93" s="74"/>
      <c r="G93" s="74"/>
      <c r="H93" s="74"/>
      <c r="I93" s="74"/>
      <c r="J93" s="74"/>
      <c r="K93" s="74"/>
      <c r="L93" s="74"/>
      <c r="M93" s="28">
        <f>C93+F93</f>
        <v>148.005</v>
      </c>
    </row>
    <row r="94" spans="1:13" s="19" customFormat="1" ht="15.75">
      <c r="A94" s="44" t="s">
        <v>46</v>
      </c>
      <c r="B94" s="33" t="s">
        <v>47</v>
      </c>
      <c r="C94" s="28"/>
      <c r="D94" s="28"/>
      <c r="E94" s="28"/>
      <c r="F94" s="74"/>
      <c r="G94" s="74"/>
      <c r="H94" s="74"/>
      <c r="I94" s="74"/>
      <c r="J94" s="74"/>
      <c r="K94" s="74"/>
      <c r="L94" s="74"/>
      <c r="M94" s="25"/>
    </row>
    <row r="95" spans="1:13" s="19" customFormat="1" ht="15.75">
      <c r="A95" s="45" t="s">
        <v>174</v>
      </c>
      <c r="B95" s="32" t="s">
        <v>175</v>
      </c>
      <c r="C95" s="25">
        <f>10+3+4</f>
        <v>17</v>
      </c>
      <c r="D95" s="25"/>
      <c r="E95" s="25"/>
      <c r="F95" s="74"/>
      <c r="G95" s="74"/>
      <c r="H95" s="74"/>
      <c r="I95" s="74"/>
      <c r="J95" s="74"/>
      <c r="K95" s="74"/>
      <c r="L95" s="74"/>
      <c r="M95" s="25">
        <f>C95+F95</f>
        <v>17</v>
      </c>
    </row>
    <row r="96" spans="1:13" s="19" customFormat="1" ht="15.75">
      <c r="A96" s="45"/>
      <c r="B96" s="32"/>
      <c r="C96" s="28"/>
      <c r="D96" s="25"/>
      <c r="E96" s="25"/>
      <c r="F96" s="74"/>
      <c r="G96" s="74"/>
      <c r="H96" s="74"/>
      <c r="I96" s="74"/>
      <c r="J96" s="74"/>
      <c r="K96" s="74"/>
      <c r="L96" s="74"/>
      <c r="M96" s="25"/>
    </row>
    <row r="97" spans="1:13" s="19" customFormat="1" ht="31.5">
      <c r="A97" s="52" t="s">
        <v>16</v>
      </c>
      <c r="B97" s="30" t="s">
        <v>152</v>
      </c>
      <c r="C97" s="25">
        <f>774.2+7.3+28.65+33-14.63+4.8</f>
        <v>833.3199999999999</v>
      </c>
      <c r="D97" s="25">
        <f>501.693+21.02-29.87</f>
        <v>492.84299999999996</v>
      </c>
      <c r="E97" s="25">
        <f>68.292+25</f>
        <v>93.292</v>
      </c>
      <c r="F97" s="74"/>
      <c r="G97" s="74"/>
      <c r="H97" s="74"/>
      <c r="I97" s="74"/>
      <c r="J97" s="74"/>
      <c r="K97" s="74"/>
      <c r="L97" s="74"/>
      <c r="M97" s="25">
        <f>C97+F97</f>
        <v>833.3199999999999</v>
      </c>
    </row>
    <row r="98" spans="1:13" s="19" customFormat="1" ht="46.5" customHeight="1">
      <c r="A98" s="47" t="s">
        <v>108</v>
      </c>
      <c r="B98" s="32" t="s">
        <v>181</v>
      </c>
      <c r="C98" s="25">
        <f>10+3+10-5</f>
        <v>18</v>
      </c>
      <c r="D98" s="25"/>
      <c r="E98" s="25"/>
      <c r="F98" s="74"/>
      <c r="G98" s="74"/>
      <c r="H98" s="74"/>
      <c r="I98" s="74"/>
      <c r="J98" s="74"/>
      <c r="K98" s="74"/>
      <c r="L98" s="74"/>
      <c r="M98" s="25">
        <f>C98+F98</f>
        <v>18</v>
      </c>
    </row>
    <row r="99" spans="1:13" s="19" customFormat="1" ht="31.5">
      <c r="A99" s="47" t="s">
        <v>17</v>
      </c>
      <c r="B99" s="32" t="s">
        <v>168</v>
      </c>
      <c r="C99" s="25">
        <f>26+8.8+2.703+16</f>
        <v>53.503</v>
      </c>
      <c r="D99" s="25"/>
      <c r="E99" s="25"/>
      <c r="F99" s="29"/>
      <c r="G99" s="29"/>
      <c r="H99" s="29"/>
      <c r="I99" s="29"/>
      <c r="J99" s="29"/>
      <c r="K99" s="29"/>
      <c r="L99" s="29"/>
      <c r="M99" s="25">
        <f>SUM(C99,F99)</f>
        <v>53.503</v>
      </c>
    </row>
    <row r="100" spans="1:13" s="19" customFormat="1" ht="15.75">
      <c r="A100" s="49"/>
      <c r="B100" s="17" t="s">
        <v>8</v>
      </c>
      <c r="C100" s="28">
        <f>C95+C96+C97+C98+C99</f>
        <v>921.823</v>
      </c>
      <c r="D100" s="28">
        <f>D95+D96+D97+D98+D99</f>
        <v>492.84299999999996</v>
      </c>
      <c r="E100" s="28">
        <f>E95+E96+E97+E98+E99</f>
        <v>93.292</v>
      </c>
      <c r="F100" s="8"/>
      <c r="G100" s="8"/>
      <c r="H100" s="8"/>
      <c r="I100" s="8"/>
      <c r="J100" s="8"/>
      <c r="K100" s="8"/>
      <c r="L100" s="8"/>
      <c r="M100" s="25">
        <f>C100+F100</f>
        <v>921.823</v>
      </c>
    </row>
    <row r="101" spans="1:13" s="19" customFormat="1" ht="15.75">
      <c r="A101" s="76" t="s">
        <v>188</v>
      </c>
      <c r="B101" s="17" t="s">
        <v>189</v>
      </c>
      <c r="C101" s="28"/>
      <c r="D101" s="28"/>
      <c r="E101" s="28"/>
      <c r="F101" s="8"/>
      <c r="G101" s="8"/>
      <c r="H101" s="8"/>
      <c r="I101" s="8"/>
      <c r="J101" s="8"/>
      <c r="K101" s="8"/>
      <c r="L101" s="8"/>
      <c r="M101" s="25"/>
    </row>
    <row r="102" spans="1:13" s="19" customFormat="1" ht="37.5" customHeight="1">
      <c r="A102" s="42" t="s">
        <v>190</v>
      </c>
      <c r="B102" s="18" t="s">
        <v>191</v>
      </c>
      <c r="C102" s="28"/>
      <c r="D102" s="28"/>
      <c r="E102" s="28"/>
      <c r="F102" s="72">
        <f>G102+J102</f>
        <v>74.5</v>
      </c>
      <c r="G102" s="72"/>
      <c r="H102" s="72"/>
      <c r="I102" s="72"/>
      <c r="J102" s="72">
        <f>143-68.5</f>
        <v>74.5</v>
      </c>
      <c r="K102" s="72">
        <f>143-68.5</f>
        <v>74.5</v>
      </c>
      <c r="L102" s="72">
        <f>130-68.5</f>
        <v>61.5</v>
      </c>
      <c r="M102" s="72">
        <f>F102</f>
        <v>74.5</v>
      </c>
    </row>
    <row r="103" spans="1:13" s="19" customFormat="1" ht="15.75">
      <c r="A103" s="49"/>
      <c r="B103" s="17"/>
      <c r="C103" s="28"/>
      <c r="D103" s="28"/>
      <c r="E103" s="28"/>
      <c r="F103" s="8"/>
      <c r="G103" s="8"/>
      <c r="H103" s="8"/>
      <c r="I103" s="8"/>
      <c r="J103" s="8"/>
      <c r="K103" s="8"/>
      <c r="L103" s="8"/>
      <c r="M103" s="25"/>
    </row>
    <row r="104" spans="1:13" ht="39.75" customHeight="1">
      <c r="A104" s="62">
        <v>170000</v>
      </c>
      <c r="B104" s="57" t="s">
        <v>161</v>
      </c>
      <c r="C104" s="28"/>
      <c r="D104" s="28"/>
      <c r="E104" s="28"/>
      <c r="F104" s="28"/>
      <c r="G104" s="28"/>
      <c r="H104" s="28"/>
      <c r="I104" s="28"/>
      <c r="J104" s="28"/>
      <c r="K104" s="28"/>
      <c r="L104" s="28"/>
      <c r="M104" s="28"/>
    </row>
    <row r="105" spans="1:13" ht="57.75" customHeight="1">
      <c r="A105" s="42" t="s">
        <v>162</v>
      </c>
      <c r="B105" s="18" t="s">
        <v>163</v>
      </c>
      <c r="C105" s="25">
        <f>50-6-3.04-23+6.86109</f>
        <v>24.82109</v>
      </c>
      <c r="D105" s="28"/>
      <c r="E105" s="28"/>
      <c r="F105" s="28"/>
      <c r="G105" s="28"/>
      <c r="H105" s="28"/>
      <c r="I105" s="28"/>
      <c r="J105" s="28"/>
      <c r="K105" s="28"/>
      <c r="L105" s="28"/>
      <c r="M105" s="25">
        <f>C105+F105</f>
        <v>24.82109</v>
      </c>
    </row>
    <row r="106" spans="1:13" ht="52.5" customHeight="1">
      <c r="A106" s="42" t="s">
        <v>164</v>
      </c>
      <c r="B106" s="18" t="s">
        <v>165</v>
      </c>
      <c r="C106" s="53">
        <f>108.5+25+23-20+1.2317+18.23891</f>
        <v>155.97061</v>
      </c>
      <c r="D106" s="28"/>
      <c r="E106" s="28"/>
      <c r="F106" s="28"/>
      <c r="G106" s="28"/>
      <c r="H106" s="28"/>
      <c r="I106" s="28"/>
      <c r="J106" s="28"/>
      <c r="K106" s="28"/>
      <c r="L106" s="28"/>
      <c r="M106" s="53">
        <f>C106+F106</f>
        <v>155.97061</v>
      </c>
    </row>
    <row r="107" spans="1:13" ht="28.5" customHeight="1">
      <c r="A107" s="62"/>
      <c r="B107" s="70" t="s">
        <v>8</v>
      </c>
      <c r="C107" s="82">
        <f>C105+C106</f>
        <v>180.7917</v>
      </c>
      <c r="D107" s="74"/>
      <c r="E107" s="74"/>
      <c r="F107" s="74"/>
      <c r="G107" s="74"/>
      <c r="H107" s="74"/>
      <c r="I107" s="74"/>
      <c r="J107" s="74"/>
      <c r="K107" s="74"/>
      <c r="L107" s="74"/>
      <c r="M107" s="82">
        <f>C107+F107</f>
        <v>180.7917</v>
      </c>
    </row>
    <row r="108" spans="1:13" ht="20.25" customHeight="1">
      <c r="A108" s="62">
        <v>180000</v>
      </c>
      <c r="B108" s="66" t="s">
        <v>166</v>
      </c>
      <c r="C108" s="28"/>
      <c r="D108" s="28"/>
      <c r="E108" s="28"/>
      <c r="F108" s="74"/>
      <c r="G108" s="74"/>
      <c r="H108" s="74"/>
      <c r="I108" s="74"/>
      <c r="J108" s="74"/>
      <c r="K108" s="74"/>
      <c r="L108" s="74"/>
      <c r="M108" s="28"/>
    </row>
    <row r="109" spans="1:13" ht="40.5" customHeight="1">
      <c r="A109" s="36">
        <v>180109</v>
      </c>
      <c r="B109" s="18" t="s">
        <v>208</v>
      </c>
      <c r="C109" s="25">
        <v>0.985</v>
      </c>
      <c r="D109" s="28"/>
      <c r="E109" s="28"/>
      <c r="F109" s="74"/>
      <c r="G109" s="74"/>
      <c r="H109" s="74"/>
      <c r="I109" s="74"/>
      <c r="J109" s="74"/>
      <c r="K109" s="74"/>
      <c r="L109" s="74"/>
      <c r="M109" s="25">
        <f>C109+F109</f>
        <v>0.985</v>
      </c>
    </row>
    <row r="110" spans="1:13" ht="20.25" customHeight="1">
      <c r="A110" s="45" t="s">
        <v>159</v>
      </c>
      <c r="B110" s="32" t="s">
        <v>160</v>
      </c>
      <c r="C110" s="25">
        <v>4</v>
      </c>
      <c r="D110" s="28"/>
      <c r="E110" s="28"/>
      <c r="F110" s="74"/>
      <c r="G110" s="74"/>
      <c r="H110" s="74"/>
      <c r="I110" s="74"/>
      <c r="J110" s="74"/>
      <c r="K110" s="74"/>
      <c r="L110" s="74"/>
      <c r="M110" s="25">
        <f>C110+F110</f>
        <v>4</v>
      </c>
    </row>
    <row r="111" spans="1:13" ht="20.25" customHeight="1">
      <c r="A111" s="45"/>
      <c r="B111" s="17" t="s">
        <v>8</v>
      </c>
      <c r="C111" s="28">
        <f>C110+C109</f>
        <v>4.985</v>
      </c>
      <c r="D111" s="74"/>
      <c r="E111" s="74"/>
      <c r="F111" s="74"/>
      <c r="G111" s="74"/>
      <c r="H111" s="74"/>
      <c r="I111" s="74"/>
      <c r="J111" s="74"/>
      <c r="K111" s="74"/>
      <c r="L111" s="74"/>
      <c r="M111" s="28">
        <f>C111+F111</f>
        <v>4.985</v>
      </c>
    </row>
    <row r="112" spans="1:13" ht="20.25" customHeight="1">
      <c r="A112" s="62">
        <v>210000</v>
      </c>
      <c r="B112" s="63" t="s">
        <v>153</v>
      </c>
      <c r="C112" s="25"/>
      <c r="D112" s="74"/>
      <c r="E112" s="74"/>
      <c r="F112" s="74"/>
      <c r="G112" s="74"/>
      <c r="H112" s="74"/>
      <c r="I112" s="74"/>
      <c r="J112" s="74"/>
      <c r="K112" s="74"/>
      <c r="L112" s="74"/>
      <c r="M112" s="28"/>
    </row>
    <row r="113" spans="1:13" ht="30.75" customHeight="1">
      <c r="A113" s="67" t="s">
        <v>48</v>
      </c>
      <c r="B113" s="64" t="s">
        <v>154</v>
      </c>
      <c r="C113" s="25">
        <f>13+4.3+4.5+32+22+1.147</f>
        <v>76.947</v>
      </c>
      <c r="D113" s="74"/>
      <c r="E113" s="74"/>
      <c r="F113" s="74"/>
      <c r="G113" s="74"/>
      <c r="H113" s="74"/>
      <c r="I113" s="74"/>
      <c r="J113" s="74"/>
      <c r="K113" s="74"/>
      <c r="L113" s="28"/>
      <c r="M113" s="25">
        <f>C113+F113</f>
        <v>76.947</v>
      </c>
    </row>
    <row r="114" spans="1:13" ht="20.25" customHeight="1">
      <c r="A114" s="65"/>
      <c r="B114" s="66" t="s">
        <v>8</v>
      </c>
      <c r="C114" s="28">
        <f>C113</f>
        <v>76.947</v>
      </c>
      <c r="D114" s="74"/>
      <c r="E114" s="74"/>
      <c r="F114" s="74"/>
      <c r="G114" s="74"/>
      <c r="H114" s="74"/>
      <c r="I114" s="74"/>
      <c r="J114" s="74"/>
      <c r="K114" s="74"/>
      <c r="L114" s="25"/>
      <c r="M114" s="28">
        <f>C114+F114</f>
        <v>76.947</v>
      </c>
    </row>
    <row r="115" spans="1:13" ht="20.25" customHeight="1">
      <c r="A115" s="62">
        <v>240000</v>
      </c>
      <c r="B115" s="66" t="s">
        <v>200</v>
      </c>
      <c r="C115" s="28"/>
      <c r="D115" s="74"/>
      <c r="E115" s="74"/>
      <c r="F115" s="74"/>
      <c r="G115" s="74"/>
      <c r="H115" s="74"/>
      <c r="I115" s="74"/>
      <c r="J115" s="74"/>
      <c r="K115" s="74"/>
      <c r="L115" s="25"/>
      <c r="M115" s="28"/>
    </row>
    <row r="116" spans="1:13" ht="20.25" customHeight="1">
      <c r="A116" s="36">
        <v>240601</v>
      </c>
      <c r="B116" s="78" t="s">
        <v>201</v>
      </c>
      <c r="C116" s="28"/>
      <c r="D116" s="8"/>
      <c r="E116" s="8"/>
      <c r="F116" s="20">
        <f>G116+J116</f>
        <v>42.6</v>
      </c>
      <c r="G116" s="20">
        <v>42.6</v>
      </c>
      <c r="H116" s="20"/>
      <c r="I116" s="8"/>
      <c r="J116" s="8"/>
      <c r="K116" s="8"/>
      <c r="L116" s="25"/>
      <c r="M116" s="25">
        <f>C116+F116</f>
        <v>42.6</v>
      </c>
    </row>
    <row r="117" spans="1:13" ht="20.25" customHeight="1">
      <c r="A117" s="36"/>
      <c r="B117" s="66" t="s">
        <v>8</v>
      </c>
      <c r="C117" s="28"/>
      <c r="D117" s="8"/>
      <c r="E117" s="79"/>
      <c r="F117" s="71">
        <f>G117+J117</f>
        <v>42.6</v>
      </c>
      <c r="G117" s="71">
        <v>42.6</v>
      </c>
      <c r="H117" s="79"/>
      <c r="I117" s="79"/>
      <c r="J117" s="79"/>
      <c r="K117" s="79"/>
      <c r="L117" s="28"/>
      <c r="M117" s="28">
        <f>C117+F117</f>
        <v>42.6</v>
      </c>
    </row>
    <row r="118" spans="1:13" ht="20.25" customHeight="1">
      <c r="A118" s="62">
        <v>250000</v>
      </c>
      <c r="B118" s="66" t="s">
        <v>192</v>
      </c>
      <c r="C118" s="28"/>
      <c r="D118" s="74"/>
      <c r="E118" s="74"/>
      <c r="F118" s="74"/>
      <c r="G118" s="74"/>
      <c r="H118" s="74"/>
      <c r="I118" s="74"/>
      <c r="J118" s="74"/>
      <c r="K118" s="74"/>
      <c r="L118" s="25"/>
      <c r="M118" s="28"/>
    </row>
    <row r="119" spans="1:13" ht="14.25" customHeight="1">
      <c r="A119"/>
      <c r="B119"/>
      <c r="C119"/>
      <c r="D119"/>
      <c r="E119"/>
      <c r="F119"/>
      <c r="G119"/>
      <c r="H119"/>
      <c r="I119"/>
      <c r="J119"/>
      <c r="K119"/>
      <c r="L119"/>
      <c r="M119"/>
    </row>
    <row r="120" spans="1:13" ht="47.25" customHeight="1">
      <c r="A120" s="36">
        <v>250311</v>
      </c>
      <c r="B120" s="37" t="s">
        <v>183</v>
      </c>
      <c r="C120" s="25">
        <v>5215.052</v>
      </c>
      <c r="D120" s="25"/>
      <c r="E120" s="25"/>
      <c r="F120" s="74"/>
      <c r="G120" s="74"/>
      <c r="H120" s="74"/>
      <c r="I120" s="74"/>
      <c r="J120" s="74"/>
      <c r="K120" s="74"/>
      <c r="L120" s="25"/>
      <c r="M120" s="25">
        <f>C120+F120</f>
        <v>5215.052</v>
      </c>
    </row>
    <row r="121" spans="1:13" ht="32.25" customHeight="1">
      <c r="A121" s="42" t="s">
        <v>109</v>
      </c>
      <c r="B121" s="26" t="s">
        <v>184</v>
      </c>
      <c r="C121" s="25">
        <f>123.6+142.3</f>
        <v>265.9</v>
      </c>
      <c r="D121" s="25"/>
      <c r="E121" s="25"/>
      <c r="F121" s="74"/>
      <c r="G121" s="74"/>
      <c r="H121" s="74"/>
      <c r="I121" s="74"/>
      <c r="J121" s="74"/>
      <c r="K121" s="74"/>
      <c r="L121" s="25"/>
      <c r="M121" s="25">
        <f aca="true" t="shared" si="7" ref="M121:M130">C121+F121</f>
        <v>265.9</v>
      </c>
    </row>
    <row r="122" spans="1:13" ht="64.5" customHeight="1" hidden="1">
      <c r="A122" s="42"/>
      <c r="B122" s="26"/>
      <c r="C122" s="25"/>
      <c r="D122" s="25"/>
      <c r="E122" s="25"/>
      <c r="F122" s="74"/>
      <c r="G122" s="74"/>
      <c r="H122" s="74"/>
      <c r="I122" s="74"/>
      <c r="J122" s="74"/>
      <c r="K122" s="74"/>
      <c r="L122" s="25"/>
      <c r="M122" s="25">
        <f t="shared" si="7"/>
        <v>0</v>
      </c>
    </row>
    <row r="123" spans="1:13" ht="129.75" customHeight="1">
      <c r="A123" s="42" t="s">
        <v>202</v>
      </c>
      <c r="B123" s="80" t="s">
        <v>203</v>
      </c>
      <c r="C123" s="25">
        <v>266.4</v>
      </c>
      <c r="D123" s="25"/>
      <c r="E123" s="25"/>
      <c r="F123" s="74"/>
      <c r="G123" s="74"/>
      <c r="H123" s="74"/>
      <c r="I123" s="74"/>
      <c r="J123" s="74"/>
      <c r="K123" s="74"/>
      <c r="L123" s="25"/>
      <c r="M123" s="25">
        <f t="shared" si="7"/>
        <v>266.4</v>
      </c>
    </row>
    <row r="124" spans="1:13" ht="101.25" customHeight="1">
      <c r="A124" s="42" t="s">
        <v>195</v>
      </c>
      <c r="B124" s="77" t="s">
        <v>196</v>
      </c>
      <c r="C124" s="25">
        <v>51.898</v>
      </c>
      <c r="D124" s="25"/>
      <c r="E124" s="25"/>
      <c r="F124" s="74"/>
      <c r="G124" s="74"/>
      <c r="H124" s="74"/>
      <c r="I124" s="74"/>
      <c r="J124" s="74"/>
      <c r="K124" s="74"/>
      <c r="L124" s="25"/>
      <c r="M124" s="25">
        <f t="shared" si="7"/>
        <v>51.898</v>
      </c>
    </row>
    <row r="125" spans="1:13" ht="49.5" customHeight="1">
      <c r="A125" s="42" t="s">
        <v>209</v>
      </c>
      <c r="B125" s="26" t="s">
        <v>210</v>
      </c>
      <c r="C125" s="25">
        <f>25-25</f>
        <v>0</v>
      </c>
      <c r="D125" s="25"/>
      <c r="E125" s="25"/>
      <c r="F125" s="74"/>
      <c r="G125" s="74"/>
      <c r="H125" s="74"/>
      <c r="I125" s="74"/>
      <c r="J125" s="74"/>
      <c r="K125" s="74"/>
      <c r="L125" s="25"/>
      <c r="M125" s="25">
        <f t="shared" si="7"/>
        <v>0</v>
      </c>
    </row>
    <row r="126" spans="1:13" ht="54.75" customHeight="1">
      <c r="A126" s="42" t="s">
        <v>204</v>
      </c>
      <c r="B126" s="81" t="s">
        <v>205</v>
      </c>
      <c r="C126" s="25">
        <f>9+30</f>
        <v>39</v>
      </c>
      <c r="D126" s="25"/>
      <c r="E126" s="25"/>
      <c r="F126" s="74"/>
      <c r="G126" s="74"/>
      <c r="H126" s="74"/>
      <c r="I126" s="74"/>
      <c r="J126" s="74"/>
      <c r="K126" s="74"/>
      <c r="L126" s="25"/>
      <c r="M126" s="25">
        <f t="shared" si="7"/>
        <v>39</v>
      </c>
    </row>
    <row r="127" spans="1:13" ht="23.25" customHeight="1">
      <c r="A127" s="42" t="s">
        <v>193</v>
      </c>
      <c r="B127" s="26" t="s">
        <v>194</v>
      </c>
      <c r="C127" s="25">
        <f>22.2+7</f>
        <v>29.2</v>
      </c>
      <c r="D127" s="25"/>
      <c r="E127" s="25"/>
      <c r="F127" s="72">
        <f>G127+J127</f>
        <v>58.303</v>
      </c>
      <c r="G127" s="72">
        <v>18.303</v>
      </c>
      <c r="H127" s="8"/>
      <c r="I127" s="8"/>
      <c r="J127" s="72">
        <f>40</f>
        <v>40</v>
      </c>
      <c r="K127" s="72">
        <f>40</f>
        <v>40</v>
      </c>
      <c r="L127" s="25">
        <v>40</v>
      </c>
      <c r="M127" s="25">
        <f t="shared" si="7"/>
        <v>87.503</v>
      </c>
    </row>
    <row r="128" spans="1:13" ht="66" customHeight="1">
      <c r="A128" s="42" t="s">
        <v>197</v>
      </c>
      <c r="B128" s="77" t="s">
        <v>198</v>
      </c>
      <c r="C128" s="25">
        <v>199.9</v>
      </c>
      <c r="D128" s="25"/>
      <c r="E128" s="25"/>
      <c r="F128" s="72">
        <f>G128+J128</f>
        <v>0</v>
      </c>
      <c r="G128" s="72"/>
      <c r="H128" s="8"/>
      <c r="I128" s="8"/>
      <c r="J128"/>
      <c r="K128"/>
      <c r="L128" s="25"/>
      <c r="M128" s="25">
        <f t="shared" si="7"/>
        <v>199.9</v>
      </c>
    </row>
    <row r="129" spans="1:13" ht="54.75" customHeight="1">
      <c r="A129" s="42" t="s">
        <v>206</v>
      </c>
      <c r="B129" s="37" t="s">
        <v>207</v>
      </c>
      <c r="C129" s="25">
        <v>315</v>
      </c>
      <c r="D129" s="25"/>
      <c r="E129" s="25"/>
      <c r="F129" s="72">
        <f>G129+J129</f>
        <v>0</v>
      </c>
      <c r="G129" s="72"/>
      <c r="H129" s="72"/>
      <c r="I129" s="72"/>
      <c r="J129" s="72">
        <v>0</v>
      </c>
      <c r="K129" s="72">
        <v>0</v>
      </c>
      <c r="L129" s="72">
        <v>0</v>
      </c>
      <c r="M129" s="25">
        <f t="shared" si="7"/>
        <v>315</v>
      </c>
    </row>
    <row r="130" spans="1:13" ht="66" customHeight="1">
      <c r="A130" s="42" t="s">
        <v>211</v>
      </c>
      <c r="B130" s="26" t="s">
        <v>212</v>
      </c>
      <c r="C130" s="25">
        <v>49</v>
      </c>
      <c r="D130" s="25"/>
      <c r="E130" s="25"/>
      <c r="F130" s="72"/>
      <c r="G130" s="72"/>
      <c r="H130" s="72"/>
      <c r="I130" s="72"/>
      <c r="J130" s="72"/>
      <c r="K130" s="72"/>
      <c r="L130" s="72"/>
      <c r="M130" s="25">
        <f t="shared" si="7"/>
        <v>49</v>
      </c>
    </row>
    <row r="131" spans="1:13" ht="24.75" customHeight="1">
      <c r="A131" s="69" t="s">
        <v>22</v>
      </c>
      <c r="B131" s="68" t="s">
        <v>155</v>
      </c>
      <c r="C131" s="25">
        <f>46+14.8-2+5.453+31.5+2</f>
        <v>97.753</v>
      </c>
      <c r="D131" s="25"/>
      <c r="E131" s="25"/>
      <c r="F131" s="25">
        <f>G131+J131</f>
        <v>1.25</v>
      </c>
      <c r="G131" s="25"/>
      <c r="H131" s="25"/>
      <c r="I131" s="25"/>
      <c r="J131" s="25">
        <f>2-0.75</f>
        <v>1.25</v>
      </c>
      <c r="K131" s="25">
        <f>2-0.75</f>
        <v>1.25</v>
      </c>
      <c r="L131" s="25">
        <f>2-0.75</f>
        <v>1.25</v>
      </c>
      <c r="M131" s="25">
        <f>C131+F131</f>
        <v>99.003</v>
      </c>
    </row>
    <row r="132" spans="1:13" ht="19.5" customHeight="1">
      <c r="A132" s="42"/>
      <c r="B132" s="38" t="s">
        <v>2</v>
      </c>
      <c r="C132" s="71">
        <f>C119+C120+C121+C131+C124+C127+C128+C123+C126+C129+C130+C125</f>
        <v>6529.102999999998</v>
      </c>
      <c r="D132" s="71">
        <f aca="true" t="shared" si="8" ref="D132:I132">D119+D120+D121+D131+D124+D127+D128</f>
        <v>0</v>
      </c>
      <c r="E132" s="71">
        <f t="shared" si="8"/>
        <v>0</v>
      </c>
      <c r="F132" s="71">
        <f>F119+F120+F121+F131+F124+F127+F128+F129</f>
        <v>59.553</v>
      </c>
      <c r="G132" s="71">
        <f t="shared" si="8"/>
        <v>18.303</v>
      </c>
      <c r="H132" s="71">
        <f t="shared" si="8"/>
        <v>0</v>
      </c>
      <c r="I132" s="71">
        <f t="shared" si="8"/>
        <v>0</v>
      </c>
      <c r="J132" s="71">
        <f>J119+J120+J121+J131+J124+J127+J128+J129</f>
        <v>41.25</v>
      </c>
      <c r="K132" s="71">
        <f>K119+K120+K121+K131+K124+K127+K128+K129</f>
        <v>41.25</v>
      </c>
      <c r="L132" s="71">
        <f>L119+L120+L121+L131+L124+L127+L128+L129</f>
        <v>41.25</v>
      </c>
      <c r="M132" s="28">
        <f>C132+F132</f>
        <v>6588.655999999998</v>
      </c>
    </row>
    <row r="133" spans="1:13" ht="61.5" customHeight="1" hidden="1">
      <c r="A133" s="42"/>
      <c r="B133" s="37"/>
      <c r="C133" s="25"/>
      <c r="D133" s="25"/>
      <c r="E133" s="25"/>
      <c r="F133" s="25">
        <f>G133+J133</f>
        <v>0</v>
      </c>
      <c r="G133" s="25"/>
      <c r="H133" s="25"/>
      <c r="I133" s="25"/>
      <c r="J133" s="25"/>
      <c r="K133" s="25"/>
      <c r="L133" s="25"/>
      <c r="M133" s="25">
        <f>C133+F133</f>
        <v>0</v>
      </c>
    </row>
    <row r="134" spans="1:14" ht="18.75">
      <c r="A134" s="41"/>
      <c r="B134" s="24" t="s">
        <v>127</v>
      </c>
      <c r="C134" s="82">
        <f>C17+C27+C32+C79+C88+C93+C100+C132+C111+C107+C114</f>
        <v>110771.99500000001</v>
      </c>
      <c r="D134" s="82">
        <f>D17+D27+D32+D79+D88+D93+D100+D132+D111+D107+D114</f>
        <v>36533.09231000001</v>
      </c>
      <c r="E134" s="28">
        <f>E17+E27+E32+E79+E88+E93+E100+E132+E111+E107+E114</f>
        <v>7281.628000000001</v>
      </c>
      <c r="F134" s="28">
        <f>G134+J134</f>
        <v>1981.909</v>
      </c>
      <c r="G134" s="28">
        <f>G17+G27+G32+G79+G88+G93+G100+G132+G111+G107+G114+G117</f>
        <v>613.003</v>
      </c>
      <c r="H134" s="28">
        <f>H17+H27+H32+H79+H88+H93+H100+H132+H111+H107+H114</f>
        <v>127.53</v>
      </c>
      <c r="I134" s="28">
        <f>I17+I27+I32+I79+I88+I93+I100+I132+I111+I107+I114</f>
        <v>6.8</v>
      </c>
      <c r="J134" s="28">
        <f>J17+J27+J32+J79+J88+J93+J100+J132+J111+J107+J114+J102</f>
        <v>1368.906</v>
      </c>
      <c r="K134" s="28">
        <f>K17+K27+K32+K79+K88+K93+K100+K132+K111+K107+K114+K102</f>
        <v>1361.106</v>
      </c>
      <c r="L134" s="28">
        <f>L17+L27+L32+L79+L88+L93+L100+L132+L111+L107+L114+L102</f>
        <v>1337.106</v>
      </c>
      <c r="M134" s="28">
        <f>C134+F134</f>
        <v>112753.90400000001</v>
      </c>
      <c r="N134" s="22"/>
    </row>
    <row r="135" spans="1:14" ht="31.5">
      <c r="A135" s="41"/>
      <c r="B135" s="10" t="s">
        <v>110</v>
      </c>
      <c r="C135" s="25">
        <f>35809.453+4-20+125+1992.7+3.852+49+902+2.501</f>
        <v>38868.505999999994</v>
      </c>
      <c r="D135" s="53"/>
      <c r="E135" s="53"/>
      <c r="F135" s="25">
        <f>G135+J135</f>
        <v>0</v>
      </c>
      <c r="G135" s="25"/>
      <c r="H135" s="25"/>
      <c r="I135" s="25"/>
      <c r="J135" s="25">
        <f>198.9-194.9-4</f>
        <v>0</v>
      </c>
      <c r="K135" s="25">
        <f>4-4</f>
        <v>0</v>
      </c>
      <c r="L135" s="25">
        <f>4-4</f>
        <v>0</v>
      </c>
      <c r="M135" s="25">
        <f>C135+F135</f>
        <v>38868.505999999994</v>
      </c>
      <c r="N135" s="22"/>
    </row>
    <row r="136" spans="1:13" ht="21.75" customHeight="1">
      <c r="A136" s="7"/>
      <c r="B136" s="83" t="s">
        <v>142</v>
      </c>
      <c r="C136" s="83"/>
      <c r="D136" s="8"/>
      <c r="F136" s="74"/>
      <c r="G136" s="51" t="s">
        <v>143</v>
      </c>
      <c r="H136" s="74"/>
      <c r="I136" s="16"/>
      <c r="J136" s="12"/>
      <c r="K136" s="12"/>
      <c r="L136" s="16" t="s">
        <v>103</v>
      </c>
      <c r="M136" s="12"/>
    </row>
    <row r="137" spans="1:13" ht="12.75" customHeight="1">
      <c r="A137" s="7"/>
      <c r="B137" s="9"/>
      <c r="C137" s="20"/>
      <c r="D137" s="20"/>
      <c r="E137" s="20"/>
      <c r="F137" s="12"/>
      <c r="G137" s="12"/>
      <c r="H137" s="12"/>
      <c r="I137" s="12"/>
      <c r="J137" s="12"/>
      <c r="K137" s="12"/>
      <c r="L137" s="12"/>
      <c r="M137" s="12"/>
    </row>
    <row r="138" spans="1:5" ht="15.75" hidden="1">
      <c r="A138" s="7"/>
      <c r="B138" s="10"/>
      <c r="C138" s="22"/>
      <c r="D138" s="22"/>
      <c r="E138" s="22"/>
    </row>
    <row r="139" spans="1:13" ht="15.75" hidden="1">
      <c r="A139" s="7"/>
      <c r="B139" s="14"/>
      <c r="C139" s="21"/>
      <c r="D139" s="21"/>
      <c r="E139" s="21"/>
      <c r="F139" s="15">
        <f>SUM(G139,J139)</f>
        <v>363.718</v>
      </c>
      <c r="G139" s="15">
        <f>SUM(G15)</f>
        <v>1.8</v>
      </c>
      <c r="H139" s="15">
        <f>SUM(H15)</f>
        <v>0</v>
      </c>
      <c r="I139" s="15">
        <f>SUM(I15)</f>
        <v>0</v>
      </c>
      <c r="J139" s="15">
        <f>SUM(J15)</f>
        <v>361.918</v>
      </c>
      <c r="K139" s="15"/>
      <c r="L139" s="15"/>
      <c r="M139" s="15" t="e">
        <f>SUM(#REF!,F139)</f>
        <v>#REF!</v>
      </c>
    </row>
    <row r="140" spans="1:13" ht="15.75" hidden="1">
      <c r="A140" s="7"/>
      <c r="B140" s="14"/>
      <c r="C140" s="21"/>
      <c r="D140" s="21"/>
      <c r="E140" s="21"/>
      <c r="F140" s="15" t="e">
        <f aca="true" t="shared" si="9" ref="F140:F159">SUM(G140,J140)</f>
        <v>#REF!</v>
      </c>
      <c r="G140" s="15" t="e">
        <f>SUM(#REF!)</f>
        <v>#REF!</v>
      </c>
      <c r="H140" s="15" t="e">
        <f>SUM(#REF!)</f>
        <v>#REF!</v>
      </c>
      <c r="I140" s="15" t="e">
        <f>SUM(#REF!)</f>
        <v>#REF!</v>
      </c>
      <c r="J140" s="15" t="e">
        <f>SUM(#REF!)</f>
        <v>#REF!</v>
      </c>
      <c r="K140" s="15"/>
      <c r="L140" s="15"/>
      <c r="M140" s="15" t="e">
        <f>SUM(#REF!,F140)</f>
        <v>#REF!</v>
      </c>
    </row>
    <row r="141" spans="1:13" ht="15.75" hidden="1">
      <c r="A141" s="7"/>
      <c r="B141" s="14"/>
      <c r="C141" s="21"/>
      <c r="D141" s="21"/>
      <c r="E141" s="21"/>
      <c r="F141" s="15" t="e">
        <f t="shared" si="9"/>
        <v>#REF!</v>
      </c>
      <c r="G141" s="15" t="e">
        <f>SUM(#REF!,#REF!,#REF!,#REF!,#REF!)</f>
        <v>#REF!</v>
      </c>
      <c r="H141" s="15" t="e">
        <f>SUM(#REF!,#REF!,#REF!,#REF!,#REF!)</f>
        <v>#REF!</v>
      </c>
      <c r="I141" s="15" t="e">
        <f>SUM(#REF!,#REF!,#REF!,#REF!,#REF!)</f>
        <v>#REF!</v>
      </c>
      <c r="J141" s="15" t="e">
        <f>SUM(#REF!,#REF!,#REF!,#REF!,#REF!)</f>
        <v>#REF!</v>
      </c>
      <c r="K141" s="15"/>
      <c r="L141" s="15"/>
      <c r="M141" s="15" t="e">
        <f>SUM(#REF!,F141)</f>
        <v>#REF!</v>
      </c>
    </row>
    <row r="142" spans="1:13" ht="15.75" hidden="1">
      <c r="A142" s="7"/>
      <c r="B142" s="14"/>
      <c r="C142" s="21"/>
      <c r="D142" s="21"/>
      <c r="E142" s="21"/>
      <c r="F142" s="15" t="e">
        <f t="shared" si="9"/>
        <v>#REF!</v>
      </c>
      <c r="G142" s="15" t="e">
        <f>SUM(#REF!)</f>
        <v>#REF!</v>
      </c>
      <c r="H142" s="15" t="e">
        <f>SUM(#REF!)</f>
        <v>#REF!</v>
      </c>
      <c r="I142" s="15" t="e">
        <f>SUM(#REF!)</f>
        <v>#REF!</v>
      </c>
      <c r="J142" s="15" t="e">
        <f>SUM(#REF!)</f>
        <v>#REF!</v>
      </c>
      <c r="K142" s="15"/>
      <c r="L142" s="15"/>
      <c r="M142" s="15" t="e">
        <f>SUM(#REF!,F142)</f>
        <v>#REF!</v>
      </c>
    </row>
    <row r="143" spans="1:13" ht="15.75" hidden="1">
      <c r="A143" s="7"/>
      <c r="B143" s="14"/>
      <c r="C143" s="21"/>
      <c r="D143" s="21"/>
      <c r="E143" s="21"/>
      <c r="F143" s="15" t="e">
        <f t="shared" si="9"/>
        <v>#REF!</v>
      </c>
      <c r="G143" s="15" t="e">
        <f>SUM(#REF!,#REF!)</f>
        <v>#REF!</v>
      </c>
      <c r="H143" s="15" t="e">
        <f>SUM(#REF!,#REF!)</f>
        <v>#REF!</v>
      </c>
      <c r="I143" s="15" t="e">
        <f>SUM(#REF!,#REF!)</f>
        <v>#REF!</v>
      </c>
      <c r="J143" s="15" t="e">
        <f>SUM(#REF!,#REF!)</f>
        <v>#REF!</v>
      </c>
      <c r="K143" s="15"/>
      <c r="L143" s="15"/>
      <c r="M143" s="15" t="e">
        <f>SUM(#REF!,F143)</f>
        <v>#REF!</v>
      </c>
    </row>
    <row r="144" spans="1:13" ht="12.75" customHeight="1" hidden="1">
      <c r="A144" s="7"/>
      <c r="B144" s="14"/>
      <c r="C144" s="21"/>
      <c r="D144" s="21"/>
      <c r="E144" s="21"/>
      <c r="F144" s="15" t="e">
        <f>SUM(#REF!)</f>
        <v>#REF!</v>
      </c>
      <c r="G144" s="15" t="e">
        <f>SUM(#REF!)</f>
        <v>#REF!</v>
      </c>
      <c r="H144" s="15" t="e">
        <f>SUM(#REF!)</f>
        <v>#REF!</v>
      </c>
      <c r="I144" s="15" t="e">
        <f>SUM(#REF!)</f>
        <v>#REF!</v>
      </c>
      <c r="J144" s="15" t="e">
        <f>SUM(#REF!)</f>
        <v>#REF!</v>
      </c>
      <c r="K144" s="15"/>
      <c r="L144" s="15"/>
      <c r="M144" s="15" t="e">
        <f>SUM(#REF!,F144)</f>
        <v>#REF!</v>
      </c>
    </row>
    <row r="145" spans="1:13" ht="15.75" hidden="1">
      <c r="A145" s="7"/>
      <c r="B145" s="14"/>
      <c r="C145" s="21"/>
      <c r="D145" s="21"/>
      <c r="E145" s="21"/>
      <c r="F145" s="15" t="e">
        <f t="shared" si="9"/>
        <v>#REF!</v>
      </c>
      <c r="G145" s="15" t="e">
        <f>SUM(#REF!,#REF!)</f>
        <v>#REF!</v>
      </c>
      <c r="H145" s="15" t="e">
        <f>SUM(#REF!,#REF!)</f>
        <v>#REF!</v>
      </c>
      <c r="I145" s="15" t="e">
        <f>SUM(#REF!,#REF!)</f>
        <v>#REF!</v>
      </c>
      <c r="J145" s="15" t="e">
        <f>SUM(#REF!,#REF!)</f>
        <v>#REF!</v>
      </c>
      <c r="K145" s="15"/>
      <c r="L145" s="15"/>
      <c r="M145" s="15" t="e">
        <f>SUM(#REF!,F145)</f>
        <v>#REF!</v>
      </c>
    </row>
    <row r="146" spans="1:13" ht="15.75" hidden="1">
      <c r="A146" s="7"/>
      <c r="B146" s="14"/>
      <c r="C146" s="21"/>
      <c r="D146" s="21"/>
      <c r="E146" s="21"/>
      <c r="F146" s="15" t="e">
        <f t="shared" si="9"/>
        <v>#REF!</v>
      </c>
      <c r="G146" s="15" t="e">
        <f>SUM(#REF!,#REF!)</f>
        <v>#REF!</v>
      </c>
      <c r="H146" s="15" t="e">
        <f>SUM(#REF!,#REF!)</f>
        <v>#REF!</v>
      </c>
      <c r="I146" s="15" t="e">
        <f>SUM(#REF!,#REF!)</f>
        <v>#REF!</v>
      </c>
      <c r="J146" s="15" t="e">
        <f>SUM(#REF!,#REF!)</f>
        <v>#REF!</v>
      </c>
      <c r="K146" s="15"/>
      <c r="L146" s="15"/>
      <c r="M146" s="15" t="e">
        <f>SUM(#REF!,F146)</f>
        <v>#REF!</v>
      </c>
    </row>
    <row r="147" spans="1:13" ht="15.75" hidden="1">
      <c r="A147" s="7"/>
      <c r="B147" s="14"/>
      <c r="C147" s="21"/>
      <c r="D147" s="21"/>
      <c r="E147" s="21"/>
      <c r="F147" s="15" t="e">
        <f t="shared" si="9"/>
        <v>#REF!</v>
      </c>
      <c r="G147" s="15" t="e">
        <f>SUM(#REF!)</f>
        <v>#REF!</v>
      </c>
      <c r="H147" s="15" t="e">
        <f>SUM(#REF!)</f>
        <v>#REF!</v>
      </c>
      <c r="I147" s="15" t="e">
        <f>SUM(#REF!)</f>
        <v>#REF!</v>
      </c>
      <c r="J147" s="15" t="e">
        <f>SUM(#REF!)</f>
        <v>#REF!</v>
      </c>
      <c r="K147" s="15"/>
      <c r="L147" s="15"/>
      <c r="M147" s="15" t="e">
        <f>SUM(#REF!,F147)</f>
        <v>#REF!</v>
      </c>
    </row>
    <row r="148" spans="1:13" ht="15.75" hidden="1">
      <c r="A148" s="7"/>
      <c r="B148" s="14"/>
      <c r="C148" s="21"/>
      <c r="D148" s="21"/>
      <c r="E148" s="21"/>
      <c r="F148" s="15" t="e">
        <f t="shared" si="9"/>
        <v>#REF!</v>
      </c>
      <c r="G148" s="15" t="e">
        <f>SUM(#REF!,#REF!,#REF!,#REF!,#REF!,#REF!,#REF!,#REF!,#REF!,#REF!,#REF!)</f>
        <v>#REF!</v>
      </c>
      <c r="H148" s="15" t="e">
        <f>SUM(#REF!,#REF!,#REF!,#REF!,#REF!,#REF!,#REF!,#REF!,#REF!,#REF!,#REF!)</f>
        <v>#REF!</v>
      </c>
      <c r="I148" s="15" t="e">
        <f>SUM(#REF!,#REF!,#REF!,#REF!,#REF!,#REF!,#REF!,#REF!,#REF!,#REF!,#REF!)</f>
        <v>#REF!</v>
      </c>
      <c r="J148" s="15" t="e">
        <f>SUM(#REF!,#REF!,#REF!,#REF!,#REF!,#REF!,#REF!,#REF!,#REF!,#REF!,#REF!)</f>
        <v>#REF!</v>
      </c>
      <c r="K148" s="15"/>
      <c r="L148" s="15"/>
      <c r="M148" s="15" t="e">
        <f>SUM(#REF!,F148)</f>
        <v>#REF!</v>
      </c>
    </row>
    <row r="149" spans="1:13" ht="15.75" hidden="1">
      <c r="A149" s="7"/>
      <c r="B149" s="14"/>
      <c r="C149" s="21"/>
      <c r="D149" s="21"/>
      <c r="E149" s="21"/>
      <c r="F149" s="15" t="e">
        <f t="shared" si="9"/>
        <v>#REF!</v>
      </c>
      <c r="G149" s="15" t="e">
        <f>SUM(#REF!)</f>
        <v>#REF!</v>
      </c>
      <c r="H149" s="15" t="e">
        <f>SUM(#REF!)</f>
        <v>#REF!</v>
      </c>
      <c r="I149" s="15" t="e">
        <f>SUM(#REF!)</f>
        <v>#REF!</v>
      </c>
      <c r="J149" s="15" t="e">
        <f>SUM(#REF!)</f>
        <v>#REF!</v>
      </c>
      <c r="K149" s="15"/>
      <c r="L149" s="15"/>
      <c r="M149" s="15" t="e">
        <f>SUM(#REF!,F149)</f>
        <v>#REF!</v>
      </c>
    </row>
    <row r="150" spans="1:13" ht="15.75" hidden="1">
      <c r="A150" s="7"/>
      <c r="B150" s="14"/>
      <c r="C150" s="21"/>
      <c r="D150" s="21"/>
      <c r="E150" s="21"/>
      <c r="F150" s="15" t="e">
        <f t="shared" si="9"/>
        <v>#REF!</v>
      </c>
      <c r="G150" s="15" t="e">
        <f>SUM(#REF!,#REF!,#REF!,#REF!,#REF!,#REF!)</f>
        <v>#REF!</v>
      </c>
      <c r="H150" s="15" t="e">
        <f>SUM(#REF!,#REF!,#REF!,#REF!,#REF!,#REF!)</f>
        <v>#REF!</v>
      </c>
      <c r="I150" s="15" t="e">
        <f>SUM(#REF!,#REF!,#REF!,#REF!,#REF!,#REF!)</f>
        <v>#REF!</v>
      </c>
      <c r="J150" s="15" t="e">
        <f>SUM(#REF!,#REF!,#REF!,#REF!,#REF!,#REF!)</f>
        <v>#REF!</v>
      </c>
      <c r="K150" s="15"/>
      <c r="L150" s="15"/>
      <c r="M150" s="15" t="e">
        <f>SUM(#REF!,F150)</f>
        <v>#REF!</v>
      </c>
    </row>
    <row r="151" spans="1:13" ht="15.75" hidden="1">
      <c r="A151" s="7"/>
      <c r="B151" s="14"/>
      <c r="C151" s="21"/>
      <c r="D151" s="21"/>
      <c r="E151" s="21"/>
      <c r="F151" s="15" t="e">
        <f t="shared" si="9"/>
        <v>#REF!</v>
      </c>
      <c r="G151" s="15" t="e">
        <f>SUM(#REF!,#REF!)</f>
        <v>#REF!</v>
      </c>
      <c r="H151" s="15" t="e">
        <f>SUM(#REF!,#REF!)</f>
        <v>#REF!</v>
      </c>
      <c r="I151" s="15" t="e">
        <f>SUM(#REF!,#REF!)</f>
        <v>#REF!</v>
      </c>
      <c r="J151" s="15" t="e">
        <f>SUM(#REF!,#REF!)</f>
        <v>#REF!</v>
      </c>
      <c r="K151" s="15"/>
      <c r="L151" s="15"/>
      <c r="M151" s="15" t="e">
        <f>SUM(#REF!,F151)</f>
        <v>#REF!</v>
      </c>
    </row>
    <row r="152" spans="1:13" ht="15.75" hidden="1">
      <c r="A152" s="7"/>
      <c r="B152" s="14"/>
      <c r="C152" s="21"/>
      <c r="D152" s="21"/>
      <c r="E152" s="21"/>
      <c r="F152" s="15" t="e">
        <f t="shared" si="9"/>
        <v>#REF!</v>
      </c>
      <c r="G152" s="15" t="e">
        <f>SUM(#REF!)</f>
        <v>#REF!</v>
      </c>
      <c r="H152" s="15" t="e">
        <f>SUM(#REF!)</f>
        <v>#REF!</v>
      </c>
      <c r="I152" s="15" t="e">
        <f>SUM(#REF!)</f>
        <v>#REF!</v>
      </c>
      <c r="J152" s="15" t="e">
        <f>SUM(#REF!)</f>
        <v>#REF!</v>
      </c>
      <c r="K152" s="15"/>
      <c r="L152" s="15"/>
      <c r="M152" s="15" t="e">
        <f>SUM(#REF!,F152)</f>
        <v>#REF!</v>
      </c>
    </row>
    <row r="153" spans="1:13" ht="15.75" hidden="1">
      <c r="A153" s="6"/>
      <c r="B153" s="14"/>
      <c r="C153" s="21"/>
      <c r="D153" s="21"/>
      <c r="E153" s="21"/>
      <c r="F153" s="15" t="e">
        <f t="shared" si="9"/>
        <v>#REF!</v>
      </c>
      <c r="G153" s="15" t="e">
        <f>SUM(#REF!,#REF!,#REF!,#REF!,#REF!)</f>
        <v>#REF!</v>
      </c>
      <c r="H153" s="15" t="e">
        <f>SUM(#REF!,#REF!,#REF!,#REF!,#REF!)</f>
        <v>#REF!</v>
      </c>
      <c r="I153" s="15" t="e">
        <f>SUM(#REF!,#REF!,#REF!,#REF!,#REF!)</f>
        <v>#REF!</v>
      </c>
      <c r="J153" s="15" t="e">
        <f>SUM(#REF!,#REF!,#REF!,#REF!,#REF!)</f>
        <v>#REF!</v>
      </c>
      <c r="K153" s="15"/>
      <c r="L153" s="15"/>
      <c r="M153" s="15" t="e">
        <f>SUM(#REF!,F153)</f>
        <v>#REF!</v>
      </c>
    </row>
    <row r="154" spans="1:13" ht="15.75" hidden="1">
      <c r="A154" s="6"/>
      <c r="B154" s="14"/>
      <c r="C154" s="21"/>
      <c r="D154" s="21"/>
      <c r="E154" s="21"/>
      <c r="F154" s="15" t="e">
        <f>SUM(#REF!,#REF!,#REF!,#REF!,#REF!,#REF!)</f>
        <v>#REF!</v>
      </c>
      <c r="G154" s="15" t="e">
        <f>SUM(#REF!,#REF!,#REF!,#REF!,#REF!,#REF!)</f>
        <v>#REF!</v>
      </c>
      <c r="H154" s="15" t="e">
        <f>SUM(#REF!,#REF!,#REF!,#REF!,#REF!,#REF!)</f>
        <v>#REF!</v>
      </c>
      <c r="I154" s="15" t="e">
        <f>SUM(#REF!,#REF!,#REF!,#REF!,#REF!,#REF!)</f>
        <v>#REF!</v>
      </c>
      <c r="J154" s="15" t="e">
        <f>SUM(#REF!,#REF!,#REF!,#REF!,#REF!,#REF!)</f>
        <v>#REF!</v>
      </c>
      <c r="K154" s="15"/>
      <c r="L154" s="15"/>
      <c r="M154" s="15" t="e">
        <f>SUM(#REF!,F154)</f>
        <v>#REF!</v>
      </c>
    </row>
    <row r="155" spans="1:13" ht="20.25" customHeight="1" hidden="1">
      <c r="A155" s="6"/>
      <c r="B155" s="14"/>
      <c r="C155" s="21"/>
      <c r="D155" s="21"/>
      <c r="E155" s="21"/>
      <c r="F155" s="15" t="e">
        <f t="shared" si="9"/>
        <v>#REF!</v>
      </c>
      <c r="G155" s="15" t="e">
        <f>SUM(#REF!)</f>
        <v>#REF!</v>
      </c>
      <c r="H155" s="15" t="e">
        <f>SUM(#REF!)</f>
        <v>#REF!</v>
      </c>
      <c r="I155" s="15" t="e">
        <f>SUM(#REF!)</f>
        <v>#REF!</v>
      </c>
      <c r="J155" s="15" t="e">
        <f>SUM(#REF!)</f>
        <v>#REF!</v>
      </c>
      <c r="K155" s="15"/>
      <c r="L155" s="15"/>
      <c r="M155" s="15" t="e">
        <f>SUM(#REF!,F155)</f>
        <v>#REF!</v>
      </c>
    </row>
    <row r="156" spans="1:13" ht="21" customHeight="1" hidden="1">
      <c r="A156" s="6"/>
      <c r="B156" s="14"/>
      <c r="C156" s="21"/>
      <c r="D156" s="21"/>
      <c r="E156" s="21"/>
      <c r="F156" s="15" t="e">
        <f t="shared" si="9"/>
        <v>#REF!</v>
      </c>
      <c r="G156" s="15" t="e">
        <f>SUM(#REF!,#REF!)</f>
        <v>#REF!</v>
      </c>
      <c r="H156" s="15" t="e">
        <f>SUM(#REF!,#REF!)</f>
        <v>#REF!</v>
      </c>
      <c r="I156" s="15" t="e">
        <f>SUM(#REF!,#REF!)</f>
        <v>#REF!</v>
      </c>
      <c r="J156" s="15" t="e">
        <f>SUM(#REF!,#REF!)</f>
        <v>#REF!</v>
      </c>
      <c r="K156" s="15"/>
      <c r="L156" s="15"/>
      <c r="M156" s="15" t="e">
        <f>SUM(#REF!,F156)</f>
        <v>#REF!</v>
      </c>
    </row>
    <row r="157" spans="1:13" ht="24.75" customHeight="1" hidden="1">
      <c r="A157" s="6"/>
      <c r="B157" s="14"/>
      <c r="C157" s="21"/>
      <c r="D157" s="21"/>
      <c r="E157" s="21"/>
      <c r="F157" s="15" t="e">
        <f t="shared" si="9"/>
        <v>#REF!</v>
      </c>
      <c r="G157" s="15" t="e">
        <f>SUM(#REF!,#REF!)</f>
        <v>#REF!</v>
      </c>
      <c r="H157" s="15" t="e">
        <f>SUM(#REF!,#REF!)</f>
        <v>#REF!</v>
      </c>
      <c r="I157" s="15" t="e">
        <f>SUM(#REF!,#REF!)</f>
        <v>#REF!</v>
      </c>
      <c r="J157" s="15" t="e">
        <f>SUM(#REF!,#REF!)</f>
        <v>#REF!</v>
      </c>
      <c r="K157" s="15"/>
      <c r="L157" s="15"/>
      <c r="M157" s="15" t="e">
        <f>SUM(#REF!,F157)</f>
        <v>#REF!</v>
      </c>
    </row>
    <row r="158" spans="1:13" ht="24.75" customHeight="1" hidden="1">
      <c r="A158" s="6"/>
      <c r="B158" s="14"/>
      <c r="C158" s="21"/>
      <c r="D158" s="21"/>
      <c r="E158" s="21"/>
      <c r="F158" s="15">
        <f t="shared" si="9"/>
        <v>0</v>
      </c>
      <c r="G158" s="15"/>
      <c r="H158" s="15"/>
      <c r="I158" s="15"/>
      <c r="J158" s="15"/>
      <c r="K158" s="15"/>
      <c r="L158" s="15"/>
      <c r="M158" s="15" t="e">
        <f>SUM(#REF!,F158)</f>
        <v>#REF!</v>
      </c>
    </row>
    <row r="159" spans="1:13" ht="19.5" customHeight="1" hidden="1">
      <c r="A159" s="6"/>
      <c r="B159" s="14"/>
      <c r="C159" s="21"/>
      <c r="D159" s="21"/>
      <c r="E159" s="21"/>
      <c r="F159" s="15" t="e">
        <f t="shared" si="9"/>
        <v>#REF!</v>
      </c>
      <c r="G159" s="15" t="e">
        <f>SUM(G139:G157)</f>
        <v>#REF!</v>
      </c>
      <c r="H159" s="15" t="e">
        <f>SUM(H139:H157)</f>
        <v>#REF!</v>
      </c>
      <c r="I159" s="15" t="e">
        <f>SUM(I139:I157)</f>
        <v>#REF!</v>
      </c>
      <c r="J159" s="15" t="e">
        <f>SUM(J139:J157)</f>
        <v>#REF!</v>
      </c>
      <c r="K159" s="15"/>
      <c r="L159" s="15"/>
      <c r="M159" s="15" t="e">
        <f>SUM(#REF!,F159)</f>
        <v>#REF!</v>
      </c>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5" ht="12.75">
      <c r="A258" s="6"/>
      <c r="B258" s="11"/>
      <c r="C258" s="22"/>
      <c r="D258" s="22"/>
      <c r="E258" s="22"/>
    </row>
    <row r="259" spans="1:5" ht="12.75">
      <c r="A259" s="6"/>
      <c r="B259" s="11"/>
      <c r="C259" s="22"/>
      <c r="D259" s="22"/>
      <c r="E259" s="22"/>
    </row>
    <row r="260" spans="1:5" ht="12.75">
      <c r="A260" s="6"/>
      <c r="B260" s="11"/>
      <c r="C260" s="22"/>
      <c r="D260" s="22"/>
      <c r="E260" s="22"/>
    </row>
    <row r="261" spans="1:5" ht="12.75">
      <c r="A261" s="6"/>
      <c r="B261" s="11"/>
      <c r="C261" s="22"/>
      <c r="D261" s="22"/>
      <c r="E261" s="22"/>
    </row>
    <row r="262" spans="1:5" ht="12.75">
      <c r="A262" s="6"/>
      <c r="B262" s="11"/>
      <c r="C262" s="22"/>
      <c r="D262" s="22"/>
      <c r="E262" s="22"/>
    </row>
    <row r="263" spans="1:5" ht="12.75">
      <c r="A263" s="6"/>
      <c r="B263" s="11"/>
      <c r="C263" s="22"/>
      <c r="D263" s="22"/>
      <c r="E263" s="22"/>
    </row>
    <row r="264" spans="1:5" ht="12.75">
      <c r="A264" s="6"/>
      <c r="B264" s="11"/>
      <c r="C264" s="22"/>
      <c r="D264" s="22"/>
      <c r="E264" s="22"/>
    </row>
    <row r="265" spans="1:5" ht="12.75">
      <c r="A265" s="6"/>
      <c r="B265" s="11"/>
      <c r="C265" s="22"/>
      <c r="D265" s="22"/>
      <c r="E265" s="22"/>
    </row>
    <row r="266" spans="1:5" ht="12.75">
      <c r="A266" s="6"/>
      <c r="B266" s="11"/>
      <c r="C266" s="22"/>
      <c r="D266" s="22"/>
      <c r="E266" s="22"/>
    </row>
    <row r="267" spans="1:5" ht="12.75">
      <c r="A267" s="6"/>
      <c r="B267" s="11"/>
      <c r="C267" s="22"/>
      <c r="D267" s="22"/>
      <c r="E267" s="22"/>
    </row>
    <row r="268" spans="1:5" ht="12.75">
      <c r="A268" s="6"/>
      <c r="B268" s="11"/>
      <c r="C268" s="22"/>
      <c r="D268" s="22"/>
      <c r="E268" s="22"/>
    </row>
    <row r="269" spans="1:5" ht="12.75">
      <c r="A269" s="6"/>
      <c r="B269" s="11"/>
      <c r="C269" s="22"/>
      <c r="D269" s="22"/>
      <c r="E269" s="22"/>
    </row>
    <row r="270" spans="1:5" ht="12.75">
      <c r="A270" s="6"/>
      <c r="B270" s="11"/>
      <c r="C270" s="22"/>
      <c r="D270" s="22"/>
      <c r="E270" s="22"/>
    </row>
    <row r="271" spans="1:5" ht="12.75">
      <c r="A271" s="6"/>
      <c r="B271" s="11"/>
      <c r="C271" s="22"/>
      <c r="D271" s="22"/>
      <c r="E271" s="22"/>
    </row>
    <row r="272" spans="1:5" ht="12.75">
      <c r="A272" s="6"/>
      <c r="B272" s="11"/>
      <c r="C272" s="22"/>
      <c r="D272" s="22"/>
      <c r="E272" s="22"/>
    </row>
    <row r="273" spans="1:5" ht="12.75">
      <c r="A273" s="6"/>
      <c r="B273" s="11"/>
      <c r="C273" s="22"/>
      <c r="D273" s="22"/>
      <c r="E273" s="22"/>
    </row>
    <row r="274" spans="1:5" ht="12.75">
      <c r="A274" s="6"/>
      <c r="B274" s="11"/>
      <c r="C274" s="22"/>
      <c r="D274" s="22"/>
      <c r="E274" s="22"/>
    </row>
    <row r="275" spans="1:5" ht="12.75">
      <c r="A275" s="6"/>
      <c r="B275" s="11"/>
      <c r="C275" s="22"/>
      <c r="D275" s="22"/>
      <c r="E275" s="22"/>
    </row>
    <row r="276" spans="1:5" ht="12.75">
      <c r="A276" s="6"/>
      <c r="B276" s="11"/>
      <c r="C276" s="22"/>
      <c r="D276" s="22"/>
      <c r="E276" s="22"/>
    </row>
    <row r="277" spans="1:5" ht="12.75">
      <c r="A277" s="6"/>
      <c r="B277" s="11"/>
      <c r="C277" s="22"/>
      <c r="D277" s="22"/>
      <c r="E277" s="22"/>
    </row>
    <row r="278" spans="1:5" ht="12.75">
      <c r="A278" s="6"/>
      <c r="B278" s="11"/>
      <c r="C278" s="22"/>
      <c r="D278" s="22"/>
      <c r="E278" s="22"/>
    </row>
    <row r="279" spans="1:5" ht="12.75">
      <c r="A279" s="6"/>
      <c r="B279" s="11"/>
      <c r="C279" s="22"/>
      <c r="D279" s="22"/>
      <c r="E279" s="22"/>
    </row>
    <row r="280" spans="1:5" ht="12.75">
      <c r="A280" s="6"/>
      <c r="B280" s="11"/>
      <c r="C280" s="22"/>
      <c r="D280" s="22"/>
      <c r="E280" s="22"/>
    </row>
    <row r="281" spans="1:5" ht="12.75">
      <c r="A281" s="6"/>
      <c r="B281" s="11"/>
      <c r="C281" s="22"/>
      <c r="D281" s="22"/>
      <c r="E281" s="22"/>
    </row>
    <row r="282" spans="1:5" ht="12.75">
      <c r="A282" s="6"/>
      <c r="B282" s="11"/>
      <c r="C282" s="22"/>
      <c r="D282" s="22"/>
      <c r="E282" s="22"/>
    </row>
    <row r="283" spans="1:5" ht="12.75">
      <c r="A283" s="6"/>
      <c r="B283" s="11"/>
      <c r="C283" s="22"/>
      <c r="D283" s="22"/>
      <c r="E283" s="22"/>
    </row>
    <row r="284" spans="1:5" ht="12.75">
      <c r="A284" s="6"/>
      <c r="B284" s="11"/>
      <c r="C284" s="22"/>
      <c r="D284" s="22"/>
      <c r="E284" s="22"/>
    </row>
    <row r="285" spans="1:5" ht="12.75">
      <c r="A285" s="6"/>
      <c r="B285" s="11"/>
      <c r="C285" s="22"/>
      <c r="D285" s="22"/>
      <c r="E285" s="22"/>
    </row>
    <row r="286" spans="1:5" ht="12.75">
      <c r="A286" s="6"/>
      <c r="B286" s="11"/>
      <c r="C286" s="22"/>
      <c r="D286" s="22"/>
      <c r="E286" s="22"/>
    </row>
    <row r="287" spans="1:5" ht="12.75">
      <c r="A287" s="6"/>
      <c r="B287" s="11"/>
      <c r="C287" s="22"/>
      <c r="D287" s="22"/>
      <c r="E287" s="22"/>
    </row>
    <row r="288" spans="1:5" ht="12.75">
      <c r="A288" s="6"/>
      <c r="B288" s="11"/>
      <c r="C288" s="22"/>
      <c r="D288" s="22"/>
      <c r="E288" s="22"/>
    </row>
    <row r="289" spans="1:5" ht="12.75">
      <c r="A289" s="6"/>
      <c r="B289" s="11"/>
      <c r="C289" s="22"/>
      <c r="D289" s="22"/>
      <c r="E289" s="22"/>
    </row>
    <row r="290" spans="1:5" ht="12.75">
      <c r="A290" s="6"/>
      <c r="B290" s="11"/>
      <c r="C290" s="22"/>
      <c r="D290" s="22"/>
      <c r="E290" s="22"/>
    </row>
    <row r="291" spans="1:5" ht="12.75">
      <c r="A291" s="6"/>
      <c r="B291" s="11"/>
      <c r="C291" s="22"/>
      <c r="D291" s="22"/>
      <c r="E291" s="22"/>
    </row>
    <row r="292" spans="1:5" ht="12.75">
      <c r="A292" s="6"/>
      <c r="B292" s="11"/>
      <c r="C292" s="22"/>
      <c r="D292" s="22"/>
      <c r="E292" s="22"/>
    </row>
    <row r="293" spans="1:5" ht="12.75">
      <c r="A293" s="6"/>
      <c r="B293" s="11"/>
      <c r="C293" s="22"/>
      <c r="D293" s="22"/>
      <c r="E293" s="22"/>
    </row>
    <row r="294" spans="1:5" ht="12.75">
      <c r="A294" s="6"/>
      <c r="B294" s="11"/>
      <c r="C294" s="22"/>
      <c r="D294" s="22"/>
      <c r="E294" s="22"/>
    </row>
    <row r="295" spans="1:5" ht="12.75">
      <c r="A295" s="6"/>
      <c r="B295" s="11"/>
      <c r="C295" s="22"/>
      <c r="D295" s="22"/>
      <c r="E295" s="22"/>
    </row>
    <row r="296" spans="1:5" ht="12.75">
      <c r="A296" s="6"/>
      <c r="B296" s="11"/>
      <c r="C296" s="22"/>
      <c r="D296" s="22"/>
      <c r="E296" s="22"/>
    </row>
    <row r="297" spans="1:5" ht="12.75">
      <c r="A297" s="6"/>
      <c r="B297" s="11"/>
      <c r="C297" s="22"/>
      <c r="D297" s="22"/>
      <c r="E297" s="22"/>
    </row>
    <row r="298" spans="1:5" ht="12.75">
      <c r="A298" s="6"/>
      <c r="B298" s="11"/>
      <c r="C298" s="22"/>
      <c r="D298" s="22"/>
      <c r="E298" s="22"/>
    </row>
    <row r="299" spans="1:5" ht="12.75">
      <c r="A299" s="6"/>
      <c r="B299" s="11"/>
      <c r="C299" s="22"/>
      <c r="D299" s="22"/>
      <c r="E299" s="22"/>
    </row>
    <row r="300" spans="1:5" ht="12.75">
      <c r="A300" s="6"/>
      <c r="B300" s="11"/>
      <c r="C300" s="22"/>
      <c r="D300" s="22"/>
      <c r="E300" s="22"/>
    </row>
    <row r="301" spans="1:5" ht="12.75">
      <c r="A301" s="6"/>
      <c r="B301" s="11"/>
      <c r="C301" s="22"/>
      <c r="D301" s="22"/>
      <c r="E301" s="22"/>
    </row>
    <row r="302" spans="1:5" ht="12.75">
      <c r="A302" s="6"/>
      <c r="B302" s="11"/>
      <c r="C302" s="22"/>
      <c r="D302" s="22"/>
      <c r="E302" s="22"/>
    </row>
    <row r="303" spans="1:5" ht="12.75">
      <c r="A303" s="6"/>
      <c r="B303" s="11"/>
      <c r="C303" s="22"/>
      <c r="D303" s="22"/>
      <c r="E303" s="22"/>
    </row>
    <row r="304" spans="1:5" ht="12.75">
      <c r="A304" s="6"/>
      <c r="B304" s="11"/>
      <c r="C304" s="22"/>
      <c r="D304" s="22"/>
      <c r="E304" s="22"/>
    </row>
    <row r="305" spans="1:5" ht="12.75">
      <c r="A305" s="6"/>
      <c r="B305" s="11"/>
      <c r="C305" s="22"/>
      <c r="D305" s="22"/>
      <c r="E305" s="22"/>
    </row>
    <row r="306" spans="1:5" ht="12.75">
      <c r="A306" s="6"/>
      <c r="B306" s="11"/>
      <c r="C306" s="22"/>
      <c r="D306" s="22"/>
      <c r="E306" s="22"/>
    </row>
    <row r="307" spans="1:5" ht="12.75">
      <c r="A307" s="6"/>
      <c r="B307" s="11"/>
      <c r="C307" s="22"/>
      <c r="D307" s="22"/>
      <c r="E307" s="22"/>
    </row>
    <row r="308" spans="1:5" ht="12.75">
      <c r="A308" s="6"/>
      <c r="B308" s="11"/>
      <c r="C308" s="22"/>
      <c r="D308" s="22"/>
      <c r="E308" s="22"/>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sheetData>
  <sheetProtection/>
  <mergeCells count="19">
    <mergeCell ref="A10:A12"/>
    <mergeCell ref="B10:B12"/>
    <mergeCell ref="A7:M7"/>
    <mergeCell ref="F10:F12"/>
    <mergeCell ref="G10:G12"/>
    <mergeCell ref="H10:I10"/>
    <mergeCell ref="J10:J12"/>
    <mergeCell ref="M9:M12"/>
    <mergeCell ref="D10:E10"/>
    <mergeCell ref="C9:E9"/>
    <mergeCell ref="B136:C136"/>
    <mergeCell ref="C10:C12"/>
    <mergeCell ref="F9:L9"/>
    <mergeCell ref="K10:L10"/>
    <mergeCell ref="K11:K12"/>
    <mergeCell ref="H11:H12"/>
    <mergeCell ref="I11:I12"/>
    <mergeCell ref="E11:E12"/>
    <mergeCell ref="D11:D12"/>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2" manualBreakCount="2">
    <brk id="86" max="12" man="1"/>
    <brk id="10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2011-12-15T15:28:51Z</cp:lastPrinted>
  <dcterms:created xsi:type="dcterms:W3CDTF">2002-12-20T15:22:07Z</dcterms:created>
  <dcterms:modified xsi:type="dcterms:W3CDTF">2011-12-22T07:41:58Z</dcterms:modified>
  <cp:category/>
  <cp:version/>
  <cp:contentType/>
  <cp:contentStatus/>
</cp:coreProperties>
</file>