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'Лист1'!$A$1:$M$133</definedName>
  </definedNames>
  <calcPr fullCalcOnLoad="1"/>
</workbook>
</file>

<file path=xl/sharedStrings.xml><?xml version="1.0" encoding="utf-8"?>
<sst xmlns="http://schemas.openxmlformats.org/spreadsheetml/2006/main" count="238" uniqueCount="219">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</sst>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174" fontId="10" fillId="0" borderId="0" xfId="0" applyNumberFormat="1" applyFont="1" applyAlignment="1">
      <alignment vertical="top"/>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7"/>
  <sheetViews>
    <sheetView tabSelected="1" zoomScale="75" zoomScaleNormal="75" zoomScaleSheetLayoutView="75" workbookViewId="0" topLeftCell="A3">
      <pane ySplit="4950" topLeftCell="BM128" activePane="bottomLeft" state="split"/>
      <selection pane="topLeft" activeCell="E41" sqref="E41"/>
      <selection pane="bottomLeft" activeCell="E101" sqref="E101"/>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212</v>
      </c>
      <c r="M2" s="7"/>
    </row>
    <row r="3" spans="9:13" ht="15.75">
      <c r="I3" s="1" t="s">
        <v>110</v>
      </c>
      <c r="L3" s="7" t="s">
        <v>92</v>
      </c>
      <c r="M3" s="7"/>
    </row>
    <row r="4" spans="9:13" ht="15.75">
      <c r="I4" s="1" t="s">
        <v>110</v>
      </c>
      <c r="L4" s="7" t="s">
        <v>200</v>
      </c>
      <c r="M4" s="7"/>
    </row>
    <row r="5" spans="12:13" ht="15.75">
      <c r="L5" s="7"/>
      <c r="M5" s="7"/>
    </row>
    <row r="6" spans="1:13" ht="20.25">
      <c r="A6" s="99" t="s">
        <v>201</v>
      </c>
      <c r="B6" s="99"/>
      <c r="C6" s="99"/>
      <c r="D6" s="99"/>
      <c r="E6" s="99"/>
      <c r="F6" s="99"/>
      <c r="G6" s="99"/>
      <c r="H6" s="99"/>
      <c r="I6" s="99"/>
      <c r="J6" s="99"/>
      <c r="K6" s="99"/>
      <c r="L6" s="99"/>
      <c r="M6" s="99"/>
    </row>
    <row r="7" ht="14.25" customHeight="1" thickBot="1">
      <c r="M7" s="1" t="s">
        <v>7</v>
      </c>
    </row>
    <row r="8" spans="1:13" ht="63.75" customHeight="1">
      <c r="A8" s="74" t="s">
        <v>210</v>
      </c>
      <c r="B8" s="66" t="s">
        <v>138</v>
      </c>
      <c r="C8" s="77" t="s">
        <v>30</v>
      </c>
      <c r="D8" s="78"/>
      <c r="E8" s="78"/>
      <c r="F8" s="77" t="s">
        <v>31</v>
      </c>
      <c r="G8" s="83"/>
      <c r="H8" s="83"/>
      <c r="I8" s="83"/>
      <c r="J8" s="83"/>
      <c r="K8" s="83"/>
      <c r="L8" s="84"/>
      <c r="M8" s="90" t="s">
        <v>147</v>
      </c>
    </row>
    <row r="9" spans="1:13" ht="12.75" customHeight="1">
      <c r="A9" s="95" t="s">
        <v>211</v>
      </c>
      <c r="B9" s="85" t="s">
        <v>139</v>
      </c>
      <c r="C9" s="80" t="s">
        <v>3</v>
      </c>
      <c r="D9" s="98" t="s">
        <v>4</v>
      </c>
      <c r="E9" s="98"/>
      <c r="F9" s="100" t="s">
        <v>3</v>
      </c>
      <c r="G9" s="98" t="s">
        <v>32</v>
      </c>
      <c r="H9" s="98" t="s">
        <v>4</v>
      </c>
      <c r="I9" s="98"/>
      <c r="J9" s="98" t="s">
        <v>33</v>
      </c>
      <c r="K9" s="92" t="s">
        <v>144</v>
      </c>
      <c r="L9" s="93"/>
      <c r="M9" s="91"/>
    </row>
    <row r="10" spans="1:13" ht="12.75" customHeight="1">
      <c r="A10" s="96"/>
      <c r="B10" s="86"/>
      <c r="C10" s="81"/>
      <c r="D10" s="88" t="s">
        <v>5</v>
      </c>
      <c r="E10" s="88" t="s">
        <v>6</v>
      </c>
      <c r="F10" s="100"/>
      <c r="G10" s="98"/>
      <c r="H10" s="88" t="s">
        <v>5</v>
      </c>
      <c r="I10" s="88" t="s">
        <v>6</v>
      </c>
      <c r="J10" s="98"/>
      <c r="K10" s="101" t="s">
        <v>145</v>
      </c>
      <c r="L10" s="52" t="s">
        <v>144</v>
      </c>
      <c r="M10" s="91"/>
    </row>
    <row r="11" spans="1:13" ht="130.5" customHeight="1">
      <c r="A11" s="97"/>
      <c r="B11" s="87"/>
      <c r="C11" s="82"/>
      <c r="D11" s="89"/>
      <c r="E11" s="89"/>
      <c r="F11" s="100"/>
      <c r="G11" s="98"/>
      <c r="H11" s="89"/>
      <c r="I11" s="89"/>
      <c r="J11" s="98"/>
      <c r="K11" s="102"/>
      <c r="L11" s="52" t="s">
        <v>146</v>
      </c>
      <c r="M11" s="91"/>
    </row>
    <row r="12" spans="1:13" ht="13.5" customHeight="1" thickBot="1">
      <c r="A12" s="72">
        <v>1</v>
      </c>
      <c r="B12" s="73">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103.6</v>
      </c>
      <c r="D15" s="7"/>
      <c r="E15" s="27"/>
      <c r="F15" s="27"/>
      <c r="G15" s="27"/>
      <c r="H15" s="27"/>
      <c r="I15" s="27"/>
      <c r="J15" s="27"/>
      <c r="K15" s="27"/>
      <c r="L15" s="27"/>
      <c r="M15" s="27">
        <f>SUM(C15,F15)</f>
        <v>103.6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f>
        <v>49.3</v>
      </c>
      <c r="D17" s="7"/>
      <c r="E17" s="27"/>
      <c r="F17" s="27"/>
      <c r="G17" s="27"/>
      <c r="H17" s="27"/>
      <c r="I17" s="27"/>
      <c r="J17" s="27"/>
      <c r="K17" s="27"/>
      <c r="L17" s="27"/>
      <c r="M17" s="27">
        <f>SUM(C17,F17)</f>
        <v>49.3</v>
      </c>
    </row>
    <row r="18" spans="1:13" ht="18" customHeight="1">
      <c r="A18" s="45"/>
      <c r="B18" s="8" t="s">
        <v>3</v>
      </c>
      <c r="C18" s="30">
        <f>C14+C15</f>
        <v>1189.299</v>
      </c>
      <c r="D18" s="30">
        <f>D14+D15</f>
        <v>615.4</v>
      </c>
      <c r="E18" s="30">
        <f>E14+E15</f>
        <v>128.9</v>
      </c>
      <c r="F18" s="30">
        <f>G18+J18</f>
        <v>4</v>
      </c>
      <c r="G18" s="30">
        <f>G14+G15</f>
        <v>2</v>
      </c>
      <c r="H18" s="30"/>
      <c r="I18" s="30"/>
      <c r="J18" s="30">
        <f>J14+J15</f>
        <v>2</v>
      </c>
      <c r="K18" s="30">
        <f>K14+K15</f>
        <v>2</v>
      </c>
      <c r="L18" s="30">
        <f>L14+L15</f>
        <v>2</v>
      </c>
      <c r="M18" s="30">
        <f>SUM(C18,F18)</f>
        <v>1193.299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206</v>
      </c>
      <c r="C22" s="70">
        <f>C23+C24+C25+C26+C27</f>
        <v>19043.707209999997</v>
      </c>
      <c r="D22" s="70">
        <f aca="true" t="shared" si="1" ref="D22:K22">D23+D24+D25+D26+D27</f>
        <v>10510.61108</v>
      </c>
      <c r="E22" s="30">
        <f t="shared" si="1"/>
        <v>2067.98</v>
      </c>
      <c r="F22" s="30">
        <f>F23+F24+F25+F26+F27</f>
        <v>427.9</v>
      </c>
      <c r="G22" s="30">
        <f t="shared" si="1"/>
        <v>358.4</v>
      </c>
      <c r="H22" s="30">
        <f t="shared" si="1"/>
        <v>125</v>
      </c>
      <c r="I22" s="30">
        <f t="shared" si="1"/>
        <v>0</v>
      </c>
      <c r="J22" s="30">
        <f t="shared" si="1"/>
        <v>69.5</v>
      </c>
      <c r="K22" s="30">
        <f t="shared" si="1"/>
        <v>69.5</v>
      </c>
      <c r="L22" s="30">
        <f>L23+L24+L25</f>
        <v>16.5</v>
      </c>
      <c r="M22" s="30">
        <f>SUM(C22,F22)</f>
        <v>19471.60721</v>
      </c>
      <c r="N22" s="61"/>
    </row>
    <row r="23" spans="1:14" s="20" customFormat="1" ht="15.75">
      <c r="A23" s="47" t="s">
        <v>40</v>
      </c>
      <c r="B23" s="34" t="s">
        <v>155</v>
      </c>
      <c r="C23" s="64">
        <f>12818.5-40+10+116.657-58.782+2.9813</f>
        <v>12849.3563</v>
      </c>
      <c r="D23" s="27">
        <f>6713.8-23.127-7.4</f>
        <v>6683.273</v>
      </c>
      <c r="E23" s="27">
        <f>1549.1+10-21.74</f>
        <v>1537.36</v>
      </c>
      <c r="F23" s="27">
        <f>G23+J23</f>
        <v>417</v>
      </c>
      <c r="G23" s="27">
        <f>350</f>
        <v>350</v>
      </c>
      <c r="H23" s="27">
        <v>125</v>
      </c>
      <c r="I23" s="27"/>
      <c r="J23" s="22">
        <v>67</v>
      </c>
      <c r="K23" s="22">
        <v>67</v>
      </c>
      <c r="L23" s="22">
        <v>14</v>
      </c>
      <c r="M23" s="27">
        <f>SUM(C23,F23)</f>
        <v>13266.3563</v>
      </c>
      <c r="N23" s="61"/>
    </row>
    <row r="24" spans="1:14" s="20" customFormat="1" ht="19.5" customHeight="1">
      <c r="A24" s="47" t="s">
        <v>187</v>
      </c>
      <c r="B24" s="34" t="s">
        <v>188</v>
      </c>
      <c r="C24" s="27">
        <f>5617.8-36+10-10+11.247+18-2.5</f>
        <v>5608.5470000000005</v>
      </c>
      <c r="D24" s="27">
        <v>3528</v>
      </c>
      <c r="E24" s="27">
        <f>589.3-10-27.5-21.18</f>
        <v>530.62</v>
      </c>
      <c r="F24" s="27">
        <f>G24+J24</f>
        <v>10.9</v>
      </c>
      <c r="G24" s="27">
        <v>8.4</v>
      </c>
      <c r="H24" s="27"/>
      <c r="I24" s="27"/>
      <c r="J24" s="22">
        <v>2.5</v>
      </c>
      <c r="K24" s="22">
        <v>2.5</v>
      </c>
      <c r="L24" s="22">
        <v>2.5</v>
      </c>
      <c r="M24" s="27">
        <f t="shared" si="0"/>
        <v>5619.447</v>
      </c>
      <c r="N24" s="61"/>
    </row>
    <row r="25" spans="1:14" s="20" customFormat="1" ht="19.5" customHeight="1">
      <c r="A25" s="47" t="s">
        <v>189</v>
      </c>
      <c r="B25" s="34" t="s">
        <v>190</v>
      </c>
      <c r="C25" s="64">
        <f>476.3+58.782-22.29679-2.9813</f>
        <v>509.80391000000003</v>
      </c>
      <c r="D25" s="64">
        <f>261.1+43.127-2.70154-2.18738</f>
        <v>299.33808</v>
      </c>
      <c r="E25" s="27">
        <f>10-10</f>
        <v>0</v>
      </c>
      <c r="F25" s="27"/>
      <c r="G25" s="27"/>
      <c r="H25" s="27"/>
      <c r="I25" s="27"/>
      <c r="J25" s="22"/>
      <c r="K25" s="22"/>
      <c r="L25" s="22"/>
      <c r="M25" s="27">
        <f t="shared" si="0"/>
        <v>509.80391000000003</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5" t="s">
        <v>213</v>
      </c>
      <c r="B41" s="56" t="s">
        <v>214</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70">
        <f>C22+C28+C33+C39+C42+C21</f>
        <v>19415.713209999994</v>
      </c>
      <c r="D43" s="70">
        <f>D22+D28+D33+D39+D42</f>
        <v>10510.61108</v>
      </c>
      <c r="E43" s="30">
        <f>E22+E28+E33+E39+E42</f>
        <v>2067.98</v>
      </c>
      <c r="F43" s="30">
        <f>F22+F28+F33+F39+F42+F38+F41</f>
        <v>967.862</v>
      </c>
      <c r="G43" s="30">
        <f>G22+G28+G33+G39+G42+G38+G41</f>
        <v>564.499</v>
      </c>
      <c r="H43" s="30">
        <f>H22+H28+H33+H39+H42</f>
        <v>125</v>
      </c>
      <c r="I43" s="30">
        <f>I22+I28+I33+I39+I42</f>
        <v>0</v>
      </c>
      <c r="J43" s="30">
        <f>J22+J28+J33+J39+J42+J38</f>
        <v>403.363</v>
      </c>
      <c r="K43" s="30">
        <f>K22+K28+K33+K39+K42+K38</f>
        <v>69.5</v>
      </c>
      <c r="L43" s="30">
        <f>L22+L28+L33+L39+L42+L38</f>
        <v>16.5</v>
      </c>
      <c r="M43" s="30">
        <v>0</v>
      </c>
      <c r="N43" s="24"/>
    </row>
    <row r="44" spans="1:14" ht="15.75">
      <c r="A44" s="44" t="s">
        <v>176</v>
      </c>
      <c r="B44" s="21" t="s">
        <v>207</v>
      </c>
      <c r="C44" s="27"/>
      <c r="D44" s="27"/>
      <c r="E44" s="27"/>
      <c r="F44" s="27"/>
      <c r="G44" s="27"/>
      <c r="H44" s="27"/>
      <c r="I44" s="27"/>
      <c r="J44" s="27"/>
      <c r="K44" s="27"/>
      <c r="L44" s="27"/>
      <c r="M44" s="27"/>
      <c r="N44" s="24"/>
    </row>
    <row r="45" spans="1:14" ht="15.75">
      <c r="A45" s="50" t="s">
        <v>53</v>
      </c>
      <c r="B45" s="8" t="s">
        <v>11</v>
      </c>
      <c r="C45" s="30">
        <f>C46+C47+C48+C49+C50+C51+C53+C52</f>
        <v>45909.44500000001</v>
      </c>
      <c r="D45" s="30">
        <f aca="true" t="shared" si="3" ref="D45:L45">D46+D47+D48+D49+D50+D51+D53+D52</f>
        <v>27132.388</v>
      </c>
      <c r="E45" s="30">
        <f t="shared" si="3"/>
        <v>5448.375</v>
      </c>
      <c r="F45" s="30">
        <f t="shared" si="3"/>
        <v>527.795</v>
      </c>
      <c r="G45" s="30">
        <f t="shared" si="3"/>
        <v>20.2</v>
      </c>
      <c r="H45" s="30">
        <f t="shared" si="3"/>
        <v>0</v>
      </c>
      <c r="I45" s="30">
        <f t="shared" si="3"/>
        <v>0</v>
      </c>
      <c r="J45" s="30">
        <f t="shared" si="3"/>
        <v>507.59499999999997</v>
      </c>
      <c r="K45" s="30">
        <f t="shared" si="3"/>
        <v>507.59499999999997</v>
      </c>
      <c r="L45" s="30">
        <f t="shared" si="3"/>
        <v>309.385</v>
      </c>
      <c r="M45" s="30">
        <f>SUM(C45,F45)</f>
        <v>46437.240000000005</v>
      </c>
      <c r="N45" s="24"/>
    </row>
    <row r="46" spans="1:14" ht="47.25">
      <c r="A46" s="63" t="s">
        <v>54</v>
      </c>
      <c r="B46" s="56" t="s">
        <v>183</v>
      </c>
      <c r="C46" s="27">
        <f>40385.052+232.306+1+155.395+3+2.5+125.1-128.7</f>
        <v>40775.653</v>
      </c>
      <c r="D46" s="27">
        <f>24198.788+114.59+92+30</f>
        <v>24435.378</v>
      </c>
      <c r="E46" s="27">
        <f>5247.5-230.625</f>
        <v>5016.875</v>
      </c>
      <c r="F46" s="27">
        <f>G46+J46</f>
        <v>512.795</v>
      </c>
      <c r="G46" s="27">
        <v>5.2</v>
      </c>
      <c r="H46" s="27"/>
      <c r="I46" s="27"/>
      <c r="J46" s="27">
        <f>24.6+210.295+144+128.7</f>
        <v>507.59499999999997</v>
      </c>
      <c r="K46" s="27">
        <f>24.6+210.295+144+128.7</f>
        <v>507.59499999999997</v>
      </c>
      <c r="L46" s="27">
        <f>45.295+135.39+128.7</f>
        <v>309.385</v>
      </c>
      <c r="M46" s="27">
        <f aca="true" t="shared" si="4" ref="M46:M54">SUM(C46,F46)</f>
        <v>41288.448</v>
      </c>
      <c r="N46" s="24"/>
    </row>
    <row r="47" spans="1:14" ht="31.5">
      <c r="A47" s="49" t="s">
        <v>55</v>
      </c>
      <c r="B47" s="37" t="s">
        <v>158</v>
      </c>
      <c r="C47" s="27">
        <f>1928.675+11.719-176.6+2+21-1+1</f>
        <v>1786.794</v>
      </c>
      <c r="D47" s="27">
        <f>1174.7-130.15</f>
        <v>1044.55</v>
      </c>
      <c r="E47" s="27">
        <v>205.7</v>
      </c>
      <c r="F47" s="27">
        <f>G47+J47</f>
        <v>15</v>
      </c>
      <c r="G47" s="27">
        <v>15</v>
      </c>
      <c r="H47" s="27"/>
      <c r="I47" s="27"/>
      <c r="J47" s="27"/>
      <c r="K47" s="27"/>
      <c r="L47" s="27"/>
      <c r="M47" s="27">
        <f t="shared" si="4"/>
        <v>1801.794</v>
      </c>
      <c r="N47" s="24"/>
    </row>
    <row r="48" spans="1:14" ht="18" customHeight="1">
      <c r="A48" s="47" t="s">
        <v>56</v>
      </c>
      <c r="B48" s="38" t="s">
        <v>157</v>
      </c>
      <c r="C48" s="27">
        <f>541.537+9.37</f>
        <v>550.907</v>
      </c>
      <c r="D48" s="27">
        <v>366.1</v>
      </c>
      <c r="E48" s="27">
        <v>35.1</v>
      </c>
      <c r="F48" s="27"/>
      <c r="G48" s="27"/>
      <c r="H48" s="27"/>
      <c r="I48" s="27"/>
      <c r="J48" s="27"/>
      <c r="K48" s="27"/>
      <c r="L48" s="27"/>
      <c r="M48" s="27">
        <f t="shared" si="4"/>
        <v>550.907</v>
      </c>
      <c r="N48" s="24"/>
    </row>
    <row r="49" spans="1:14" ht="31.5">
      <c r="A49" s="49" t="s">
        <v>57</v>
      </c>
      <c r="B49" s="34" t="s">
        <v>160</v>
      </c>
      <c r="C49" s="27">
        <f>619.245+5.388</f>
        <v>624.633</v>
      </c>
      <c r="D49" s="27">
        <v>409</v>
      </c>
      <c r="E49" s="27">
        <v>52</v>
      </c>
      <c r="F49" s="27"/>
      <c r="G49" s="27"/>
      <c r="H49" s="27"/>
      <c r="I49" s="27"/>
      <c r="J49" s="27"/>
      <c r="K49" s="27"/>
      <c r="L49" s="27"/>
      <c r="M49" s="27">
        <f t="shared" si="4"/>
        <v>624.633</v>
      </c>
      <c r="N49" s="24"/>
    </row>
    <row r="50" spans="1:14" ht="17.25" customHeight="1">
      <c r="A50" s="47" t="s">
        <v>58</v>
      </c>
      <c r="B50" s="34" t="s">
        <v>156</v>
      </c>
      <c r="C50" s="27">
        <f>463.798+6.725+21.205</f>
        <v>491.728</v>
      </c>
      <c r="D50" s="27">
        <f>304.1+15.56</f>
        <v>319.66</v>
      </c>
      <c r="E50" s="27"/>
      <c r="F50" s="27"/>
      <c r="G50" s="27"/>
      <c r="H50" s="27"/>
      <c r="I50" s="27"/>
      <c r="J50" s="27"/>
      <c r="K50" s="27"/>
      <c r="L50" s="27"/>
      <c r="M50" s="27">
        <f t="shared" si="4"/>
        <v>491.728</v>
      </c>
      <c r="N50" s="24"/>
    </row>
    <row r="51" spans="1:14" ht="15.75">
      <c r="A51" s="47" t="s">
        <v>59</v>
      </c>
      <c r="B51" s="38" t="s">
        <v>60</v>
      </c>
      <c r="C51" s="27">
        <f>640.2+73.549+17</f>
        <v>730.749</v>
      </c>
      <c r="D51" s="27"/>
      <c r="E51" s="27"/>
      <c r="F51" s="27"/>
      <c r="G51" s="27"/>
      <c r="H51" s="27"/>
      <c r="I51" s="27"/>
      <c r="J51" s="27"/>
      <c r="K51" s="27"/>
      <c r="L51" s="27"/>
      <c r="M51" s="27">
        <f t="shared" si="4"/>
        <v>730.749</v>
      </c>
      <c r="N51" s="24"/>
    </row>
    <row r="52" spans="1:14" ht="15.75">
      <c r="A52" s="47" t="s">
        <v>181</v>
      </c>
      <c r="B52" s="38" t="s">
        <v>182</v>
      </c>
      <c r="C52" s="27">
        <f>918.464+1.517</f>
        <v>919.9810000000001</v>
      </c>
      <c r="D52" s="27">
        <v>557.7</v>
      </c>
      <c r="E52" s="27">
        <v>138.7</v>
      </c>
      <c r="F52" s="27"/>
      <c r="G52" s="27"/>
      <c r="H52" s="27"/>
      <c r="I52" s="27"/>
      <c r="J52" s="27"/>
      <c r="K52" s="27"/>
      <c r="L52" s="27"/>
      <c r="M52" s="27">
        <f t="shared" si="4"/>
        <v>919.9810000000001</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f>
        <v>945.224</v>
      </c>
      <c r="D54" s="27">
        <v>599.1</v>
      </c>
      <c r="E54" s="27">
        <v>106.6</v>
      </c>
      <c r="F54" s="27"/>
      <c r="G54" s="27"/>
      <c r="H54" s="27"/>
      <c r="I54" s="27"/>
      <c r="J54" s="27"/>
      <c r="K54" s="27"/>
      <c r="L54" s="27"/>
      <c r="M54" s="27">
        <f t="shared" si="4"/>
        <v>945.224</v>
      </c>
      <c r="N54" s="24"/>
    </row>
    <row r="55" spans="1:14" ht="21" customHeight="1">
      <c r="A55" s="43"/>
      <c r="B55" s="8" t="s">
        <v>10</v>
      </c>
      <c r="C55" s="30">
        <f>C45+C54</f>
        <v>46854.66900000001</v>
      </c>
      <c r="D55" s="30">
        <f>D45+D54</f>
        <v>27731.487999999998</v>
      </c>
      <c r="E55" s="30">
        <f>E45+E54</f>
        <v>5554.975</v>
      </c>
      <c r="F55" s="30">
        <f>G55+J55</f>
        <v>527.795</v>
      </c>
      <c r="G55" s="30">
        <f>G45+G54</f>
        <v>20.2</v>
      </c>
      <c r="H55" s="22"/>
      <c r="I55" s="22"/>
      <c r="J55" s="30">
        <f>J45+J54</f>
        <v>507.59499999999997</v>
      </c>
      <c r="K55" s="30">
        <f>K45+K54</f>
        <v>507.59499999999997</v>
      </c>
      <c r="L55" s="30">
        <f>L45+L54</f>
        <v>309.385</v>
      </c>
      <c r="M55" s="30">
        <f>SUM(C55,F55)</f>
        <v>47382.46400000001</v>
      </c>
      <c r="N55" s="24"/>
    </row>
    <row r="56" spans="1:14" ht="35.25" customHeight="1">
      <c r="A56" s="44" t="s">
        <v>177</v>
      </c>
      <c r="B56" s="17" t="s">
        <v>208</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C58+C59+C60+C61+C63+C65+C66+C67+C68+C69+C70+C71+C74+C75+C76+C77+C78+C79+C81+C82+C84+C86+C87+C91+C95+C96+C99+C97+C98+C83+C85+C72+C73+C80+C94+C92+C93+C88+C90</f>
        <v>57541.634</v>
      </c>
      <c r="D57" s="30">
        <f t="shared" si="5"/>
        <v>2640.9860000000003</v>
      </c>
      <c r="E57" s="30">
        <f t="shared" si="5"/>
        <v>147.167</v>
      </c>
      <c r="F57" s="30">
        <f t="shared" si="5"/>
        <v>211.20999999999998</v>
      </c>
      <c r="G57" s="30">
        <f t="shared" si="5"/>
        <v>160</v>
      </c>
      <c r="H57" s="30">
        <f t="shared" si="5"/>
        <v>12.5</v>
      </c>
      <c r="I57" s="30">
        <f t="shared" si="5"/>
        <v>0</v>
      </c>
      <c r="J57" s="30">
        <f t="shared" si="5"/>
        <v>51.21</v>
      </c>
      <c r="K57" s="30">
        <f t="shared" si="5"/>
        <v>51.21</v>
      </c>
      <c r="L57" s="30">
        <f t="shared" si="5"/>
        <v>51.21</v>
      </c>
      <c r="M57" s="30">
        <f>SUM(C57,F57)</f>
        <v>57752.844</v>
      </c>
      <c r="N57" s="24"/>
    </row>
    <row r="58" spans="1:14" ht="209.25" customHeight="1">
      <c r="A58" s="44" t="s">
        <v>62</v>
      </c>
      <c r="B58" s="18" t="s">
        <v>109</v>
      </c>
      <c r="C58" s="27">
        <f>2012-49.727</f>
        <v>1962.273</v>
      </c>
      <c r="D58" s="27"/>
      <c r="E58" s="27"/>
      <c r="F58" s="22"/>
      <c r="G58" s="27"/>
      <c r="H58" s="27"/>
      <c r="I58" s="27"/>
      <c r="J58" s="27"/>
      <c r="K58" s="27"/>
      <c r="L58" s="27"/>
      <c r="M58" s="27">
        <f>SUM(C58,F58)</f>
        <v>1962.273</v>
      </c>
      <c r="N58" s="24"/>
    </row>
    <row r="59" spans="1:14" ht="196.5" customHeight="1">
      <c r="A59" s="44" t="s">
        <v>63</v>
      </c>
      <c r="B59" s="18" t="s">
        <v>95</v>
      </c>
      <c r="C59" s="64">
        <f>131.74-0.0912</f>
        <v>131.64880000000002</v>
      </c>
      <c r="D59" s="27"/>
      <c r="E59" s="27"/>
      <c r="F59" s="22"/>
      <c r="G59" s="27"/>
      <c r="H59" s="27"/>
      <c r="I59" s="27"/>
      <c r="J59" s="27"/>
      <c r="K59" s="27"/>
      <c r="L59" s="27"/>
      <c r="M59" s="64">
        <f>SUM(C59,F59)</f>
        <v>131.64880000000002</v>
      </c>
      <c r="N59" s="24"/>
    </row>
    <row r="60" spans="1:14" ht="218.25" customHeight="1">
      <c r="A60" s="44" t="s">
        <v>64</v>
      </c>
      <c r="B60" s="18" t="s">
        <v>96</v>
      </c>
      <c r="C60" s="27">
        <f>36.974-4.384</f>
        <v>32.589999999999996</v>
      </c>
      <c r="D60" s="27"/>
      <c r="E60" s="27"/>
      <c r="F60" s="53"/>
      <c r="G60" s="27"/>
      <c r="H60" s="27"/>
      <c r="I60" s="27"/>
      <c r="J60" s="27"/>
      <c r="K60" s="27"/>
      <c r="L60" s="27"/>
      <c r="M60" s="27">
        <f>SUM(C60,F60)</f>
        <v>32.589999999999996</v>
      </c>
      <c r="N60" s="24"/>
    </row>
    <row r="61" spans="1:14" ht="328.5" customHeight="1">
      <c r="A61" s="44" t="s">
        <v>65</v>
      </c>
      <c r="B61" s="18" t="s">
        <v>132</v>
      </c>
      <c r="C61" s="27">
        <v>122</v>
      </c>
      <c r="D61" s="27"/>
      <c r="E61" s="27"/>
      <c r="F61" s="22"/>
      <c r="G61" s="27"/>
      <c r="H61" s="27"/>
      <c r="I61" s="27"/>
      <c r="J61" s="27"/>
      <c r="K61" s="27"/>
      <c r="L61" s="27"/>
      <c r="M61" s="27">
        <f>F61+C61</f>
        <v>122</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64">
        <f>1.9+0.0912</f>
        <v>1.9911999999999999</v>
      </c>
      <c r="D63" s="27"/>
      <c r="E63" s="27"/>
      <c r="F63" s="22"/>
      <c r="G63" s="27"/>
      <c r="H63" s="27"/>
      <c r="I63" s="27"/>
      <c r="J63" s="27"/>
      <c r="K63" s="27"/>
      <c r="L63" s="27"/>
      <c r="M63" s="64">
        <f>SUM(C63,F63)</f>
        <v>1.9911999999999999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v>49</v>
      </c>
      <c r="D65" s="27"/>
      <c r="E65" s="27"/>
      <c r="F65" s="22"/>
      <c r="G65" s="27"/>
      <c r="H65" s="27"/>
      <c r="I65" s="27"/>
      <c r="J65" s="27"/>
      <c r="K65" s="27"/>
      <c r="L65" s="27"/>
      <c r="M65" s="27">
        <f aca="true" t="shared" si="6" ref="M65:M102">SUM(C65,F65)</f>
        <v>49</v>
      </c>
      <c r="N65" s="24"/>
    </row>
    <row r="66" spans="1:14" ht="97.5" customHeight="1">
      <c r="A66" s="44" t="s">
        <v>68</v>
      </c>
      <c r="B66" s="18" t="s">
        <v>112</v>
      </c>
      <c r="C66" s="64">
        <f>2.375-0.3838</f>
        <v>1.9912</v>
      </c>
      <c r="D66" s="27"/>
      <c r="E66" s="27"/>
      <c r="F66" s="22"/>
      <c r="G66" s="27"/>
      <c r="H66" s="27"/>
      <c r="I66" s="27"/>
      <c r="J66" s="27"/>
      <c r="K66" s="27"/>
      <c r="L66" s="27"/>
      <c r="M66" s="27">
        <f t="shared" si="6"/>
        <v>1.9912</v>
      </c>
      <c r="N66" s="24"/>
    </row>
    <row r="67" spans="1:14" ht="80.25" customHeight="1">
      <c r="A67" s="44" t="s">
        <v>69</v>
      </c>
      <c r="B67" s="18" t="s">
        <v>113</v>
      </c>
      <c r="C67" s="27">
        <v>1.1</v>
      </c>
      <c r="D67" s="27"/>
      <c r="E67" s="27"/>
      <c r="F67" s="22"/>
      <c r="G67" s="27"/>
      <c r="H67" s="27"/>
      <c r="I67" s="27"/>
      <c r="J67" s="27"/>
      <c r="K67" s="27"/>
      <c r="L67" s="27"/>
      <c r="M67" s="27">
        <f t="shared" si="6"/>
        <v>1.1</v>
      </c>
      <c r="N67" s="24"/>
    </row>
    <row r="68" spans="1:14" ht="180" customHeight="1">
      <c r="A68" s="44" t="s">
        <v>70</v>
      </c>
      <c r="B68" s="18" t="s">
        <v>120</v>
      </c>
      <c r="C68" s="27">
        <f>301+3</f>
        <v>304</v>
      </c>
      <c r="D68" s="27"/>
      <c r="E68" s="27"/>
      <c r="F68" s="22"/>
      <c r="G68" s="27"/>
      <c r="H68" s="27"/>
      <c r="I68" s="27"/>
      <c r="J68" s="27"/>
      <c r="K68" s="27"/>
      <c r="L68" s="27"/>
      <c r="M68" s="27">
        <f t="shared" si="6"/>
        <v>304</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f>112.8+1.5</f>
        <v>114.3</v>
      </c>
      <c r="D71" s="27"/>
      <c r="E71" s="27"/>
      <c r="F71" s="27"/>
      <c r="G71" s="27"/>
      <c r="H71" s="27"/>
      <c r="I71" s="27"/>
      <c r="J71" s="27"/>
      <c r="K71" s="27"/>
      <c r="L71" s="27"/>
      <c r="M71" s="27">
        <f t="shared" si="6"/>
        <v>114.3</v>
      </c>
      <c r="N71" s="24"/>
    </row>
    <row r="72" spans="1:14" ht="33" customHeight="1">
      <c r="A72" s="44" t="s">
        <v>135</v>
      </c>
      <c r="B72" s="18" t="s">
        <v>128</v>
      </c>
      <c r="C72" s="27">
        <f>390.2+70.727</f>
        <v>460.927</v>
      </c>
      <c r="D72" s="27"/>
      <c r="E72" s="27"/>
      <c r="F72" s="27"/>
      <c r="G72" s="27"/>
      <c r="H72" s="27"/>
      <c r="I72" s="27"/>
      <c r="J72" s="27"/>
      <c r="K72" s="27"/>
      <c r="L72" s="27"/>
      <c r="M72" s="27">
        <f t="shared" si="6"/>
        <v>460.927</v>
      </c>
      <c r="N72" s="24"/>
    </row>
    <row r="73" spans="1:14" ht="50.25" customHeight="1">
      <c r="A73" s="44" t="s">
        <v>136</v>
      </c>
      <c r="B73" s="18" t="s">
        <v>140</v>
      </c>
      <c r="C73" s="64">
        <f>79.055+0.3838</f>
        <v>79.4388</v>
      </c>
      <c r="D73" s="27"/>
      <c r="E73" s="27"/>
      <c r="F73" s="27"/>
      <c r="G73" s="27"/>
      <c r="H73" s="27"/>
      <c r="I73" s="27"/>
      <c r="J73" s="27"/>
      <c r="K73" s="27"/>
      <c r="L73" s="27"/>
      <c r="M73" s="27">
        <f t="shared" si="6"/>
        <v>79.4388</v>
      </c>
      <c r="N73" s="24"/>
    </row>
    <row r="74" spans="1:14" ht="36.75" customHeight="1">
      <c r="A74" s="44" t="s">
        <v>74</v>
      </c>
      <c r="B74" s="18" t="s">
        <v>99</v>
      </c>
      <c r="C74" s="27">
        <f>505.6-40</f>
        <v>465.6</v>
      </c>
      <c r="D74" s="27"/>
      <c r="E74" s="27"/>
      <c r="F74" s="27"/>
      <c r="G74" s="27"/>
      <c r="H74" s="27"/>
      <c r="I74" s="27"/>
      <c r="J74" s="27"/>
      <c r="K74" s="27"/>
      <c r="L74" s="27"/>
      <c r="M74" s="27">
        <f t="shared" si="6"/>
        <v>465.6</v>
      </c>
      <c r="N74" s="24"/>
    </row>
    <row r="75" spans="1:14" ht="30.75" customHeight="1">
      <c r="A75" s="44" t="s">
        <v>75</v>
      </c>
      <c r="B75" s="18" t="s">
        <v>100</v>
      </c>
      <c r="C75" s="27">
        <f>8760-1300</f>
        <v>7460</v>
      </c>
      <c r="D75" s="27"/>
      <c r="E75" s="27"/>
      <c r="F75" s="27"/>
      <c r="G75" s="27"/>
      <c r="H75" s="27"/>
      <c r="I75" s="27"/>
      <c r="J75" s="27"/>
      <c r="K75" s="27"/>
      <c r="L75" s="27"/>
      <c r="M75" s="27">
        <f t="shared" si="6"/>
        <v>7460</v>
      </c>
      <c r="N75" s="24"/>
    </row>
    <row r="76" spans="1:14" ht="32.25" customHeight="1">
      <c r="A76" s="44" t="s">
        <v>76</v>
      </c>
      <c r="B76" s="18" t="s">
        <v>141</v>
      </c>
      <c r="C76" s="27">
        <f>17817.6-500</f>
        <v>17317.6</v>
      </c>
      <c r="D76" s="27"/>
      <c r="E76" s="27"/>
      <c r="F76" s="27"/>
      <c r="G76" s="27"/>
      <c r="H76" s="27"/>
      <c r="I76" s="27"/>
      <c r="J76" s="27"/>
      <c r="K76" s="27"/>
      <c r="L76" s="27"/>
      <c r="M76" s="27">
        <f t="shared" si="6"/>
        <v>17317.6</v>
      </c>
      <c r="N76" s="24"/>
    </row>
    <row r="77" spans="1:14" ht="46.5" customHeight="1">
      <c r="A77" s="44" t="s">
        <v>77</v>
      </c>
      <c r="B77" s="31" t="s">
        <v>122</v>
      </c>
      <c r="C77" s="27">
        <f>2879.8-200</f>
        <v>2679.8</v>
      </c>
      <c r="D77" s="27"/>
      <c r="E77" s="27"/>
      <c r="F77" s="27"/>
      <c r="G77" s="27"/>
      <c r="H77" s="27"/>
      <c r="I77" s="27"/>
      <c r="J77" s="27"/>
      <c r="K77" s="27"/>
      <c r="L77" s="27"/>
      <c r="M77" s="27">
        <f t="shared" si="6"/>
        <v>2679.8</v>
      </c>
      <c r="N77" s="24"/>
    </row>
    <row r="78" spans="1:14" ht="30.75" customHeight="1">
      <c r="A78" s="44" t="s">
        <v>78</v>
      </c>
      <c r="B78" s="18" t="s">
        <v>101</v>
      </c>
      <c r="C78" s="27">
        <f>6503.8-380</f>
        <v>6123.8</v>
      </c>
      <c r="D78" s="27"/>
      <c r="E78" s="27"/>
      <c r="F78" s="27"/>
      <c r="G78" s="27"/>
      <c r="H78" s="27"/>
      <c r="I78" s="27"/>
      <c r="J78" s="27"/>
      <c r="K78" s="27"/>
      <c r="L78" s="27"/>
      <c r="M78" s="27">
        <f t="shared" si="6"/>
        <v>6123.8</v>
      </c>
      <c r="N78" s="24"/>
    </row>
    <row r="79" spans="1:14" ht="30" customHeight="1">
      <c r="A79" s="44" t="s">
        <v>79</v>
      </c>
      <c r="B79" s="18" t="s">
        <v>102</v>
      </c>
      <c r="C79" s="27">
        <f>758.8-10</f>
        <v>748.8</v>
      </c>
      <c r="D79" s="27"/>
      <c r="E79" s="27"/>
      <c r="F79" s="27"/>
      <c r="G79" s="27"/>
      <c r="H79" s="27"/>
      <c r="I79" s="27"/>
      <c r="J79" s="27"/>
      <c r="K79" s="27"/>
      <c r="L79" s="27"/>
      <c r="M79" s="27">
        <f t="shared" si="6"/>
        <v>748.8</v>
      </c>
      <c r="N79" s="24"/>
    </row>
    <row r="80" spans="1:14" ht="30" customHeight="1">
      <c r="A80" s="44" t="s">
        <v>126</v>
      </c>
      <c r="B80" s="18" t="s">
        <v>127</v>
      </c>
      <c r="C80" s="27">
        <f>35+3.227</f>
        <v>38.227</v>
      </c>
      <c r="D80" s="27"/>
      <c r="E80" s="27"/>
      <c r="F80" s="27"/>
      <c r="G80" s="27"/>
      <c r="H80" s="27"/>
      <c r="I80" s="27"/>
      <c r="J80" s="27"/>
      <c r="K80" s="27"/>
      <c r="L80" s="27"/>
      <c r="M80" s="27">
        <f t="shared" si="6"/>
        <v>38.227</v>
      </c>
      <c r="N80" s="24"/>
    </row>
    <row r="81" spans="1:14" ht="30.75" customHeight="1">
      <c r="A81" s="44" t="s">
        <v>80</v>
      </c>
      <c r="B81" s="18" t="s">
        <v>103</v>
      </c>
      <c r="C81" s="27">
        <f>5081.1+2926.773</f>
        <v>8007.8730000000005</v>
      </c>
      <c r="D81" s="27"/>
      <c r="E81" s="27"/>
      <c r="F81" s="27"/>
      <c r="G81" s="27"/>
      <c r="H81" s="27"/>
      <c r="I81" s="27"/>
      <c r="J81" s="27"/>
      <c r="K81" s="27"/>
      <c r="L81" s="27"/>
      <c r="M81" s="27">
        <f t="shared" si="6"/>
        <v>8007.8730000000005</v>
      </c>
      <c r="N81" s="24"/>
    </row>
    <row r="82" spans="1:14" ht="47.25" customHeight="1">
      <c r="A82" s="44" t="s">
        <v>81</v>
      </c>
      <c r="B82" s="18" t="s">
        <v>129</v>
      </c>
      <c r="C82" s="27">
        <f>513.7-24</f>
        <v>489.70000000000005</v>
      </c>
      <c r="D82" s="27"/>
      <c r="E82" s="27"/>
      <c r="F82" s="22"/>
      <c r="G82" s="27"/>
      <c r="H82" s="27"/>
      <c r="I82" s="27"/>
      <c r="J82" s="27"/>
      <c r="K82" s="27"/>
      <c r="L82" s="27"/>
      <c r="M82" s="27">
        <f t="shared" si="6"/>
        <v>489.70000000000005</v>
      </c>
      <c r="N82" s="24"/>
    </row>
    <row r="83" spans="1:14" ht="66.75" customHeight="1">
      <c r="A83" s="44" t="s">
        <v>119</v>
      </c>
      <c r="B83" s="18" t="s">
        <v>130</v>
      </c>
      <c r="C83" s="27">
        <v>264</v>
      </c>
      <c r="D83" s="27"/>
      <c r="E83" s="27"/>
      <c r="F83" s="27"/>
      <c r="G83" s="27"/>
      <c r="H83" s="27"/>
      <c r="I83" s="27"/>
      <c r="J83" s="27"/>
      <c r="K83" s="27"/>
      <c r="L83" s="27"/>
      <c r="M83" s="27">
        <f t="shared" si="6"/>
        <v>264</v>
      </c>
      <c r="N83" s="24"/>
    </row>
    <row r="84" spans="1:14" ht="21" customHeight="1">
      <c r="A84" s="44" t="s">
        <v>82</v>
      </c>
      <c r="B84" s="18" t="s">
        <v>83</v>
      </c>
      <c r="C84" s="27">
        <f>8.8+3.5362+0.1638+46-1.196-0.4</f>
        <v>56.904</v>
      </c>
      <c r="D84" s="27"/>
      <c r="E84" s="27"/>
      <c r="F84" s="27"/>
      <c r="G84" s="27"/>
      <c r="H84" s="27"/>
      <c r="I84" s="27"/>
      <c r="J84" s="27"/>
      <c r="K84" s="27"/>
      <c r="L84" s="27"/>
      <c r="M84" s="27">
        <f>SUM(C84,F84)</f>
        <v>56.904</v>
      </c>
      <c r="N84" s="24"/>
    </row>
    <row r="85" spans="1:14" ht="21" customHeight="1">
      <c r="A85" s="44" t="s">
        <v>123</v>
      </c>
      <c r="B85" s="37" t="s">
        <v>124</v>
      </c>
      <c r="C85" s="27">
        <f>30.48+25.6-1.32-4.8</f>
        <v>49.96</v>
      </c>
      <c r="D85" s="27"/>
      <c r="E85" s="27"/>
      <c r="F85" s="27"/>
      <c r="G85" s="27"/>
      <c r="H85" s="27"/>
      <c r="I85" s="27"/>
      <c r="J85" s="27"/>
      <c r="K85" s="27"/>
      <c r="L85" s="27"/>
      <c r="M85" s="27">
        <f t="shared" si="6"/>
        <v>49.96</v>
      </c>
      <c r="N85" s="24"/>
    </row>
    <row r="86" spans="1:14" ht="49.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184</v>
      </c>
      <c r="C87" s="27">
        <f>260.7+40-17.318</f>
        <v>283.382</v>
      </c>
      <c r="D87" s="27"/>
      <c r="E87" s="27"/>
      <c r="F87" s="27"/>
      <c r="G87" s="27"/>
      <c r="H87" s="27"/>
      <c r="I87" s="27"/>
      <c r="J87" s="27"/>
      <c r="K87" s="27"/>
      <c r="L87" s="27"/>
      <c r="M87" s="27">
        <f t="shared" si="6"/>
        <v>283.382</v>
      </c>
      <c r="N87" s="24"/>
    </row>
    <row r="88" spans="1:14" ht="17.25" customHeight="1">
      <c r="A88" s="47" t="s">
        <v>41</v>
      </c>
      <c r="B88" s="34" t="s">
        <v>42</v>
      </c>
      <c r="C88" s="27">
        <f>108.6+538.6+42.861</f>
        <v>690.061</v>
      </c>
      <c r="D88" s="27">
        <f>76.7+383.086</f>
        <v>459.786</v>
      </c>
      <c r="E88" s="27">
        <f>1.629+7.138</f>
        <v>8.767</v>
      </c>
      <c r="F88" s="27">
        <f>G88+J88</f>
        <v>46.61</v>
      </c>
      <c r="G88" s="27"/>
      <c r="H88" s="27"/>
      <c r="I88" s="27"/>
      <c r="J88" s="22">
        <v>46.61</v>
      </c>
      <c r="K88" s="22">
        <v>46.61</v>
      </c>
      <c r="L88" s="22">
        <v>46.61</v>
      </c>
      <c r="M88" s="27">
        <f t="shared" si="6"/>
        <v>736.671</v>
      </c>
      <c r="N88" s="24"/>
    </row>
    <row r="89" spans="1:14" ht="17.25" customHeight="1">
      <c r="A89" s="47"/>
      <c r="B89" s="34" t="s">
        <v>43</v>
      </c>
      <c r="C89" s="27"/>
      <c r="D89" s="27"/>
      <c r="E89" s="27"/>
      <c r="F89" s="27"/>
      <c r="G89" s="27"/>
      <c r="H89" s="27"/>
      <c r="I89" s="27"/>
      <c r="J89" s="27"/>
      <c r="K89" s="27"/>
      <c r="L89" s="27"/>
      <c r="M89" s="27"/>
      <c r="N89" s="24"/>
    </row>
    <row r="90" spans="1:14" ht="17.25" customHeight="1">
      <c r="A90" s="63" t="s">
        <v>172</v>
      </c>
      <c r="B90" s="62" t="s">
        <v>173</v>
      </c>
      <c r="C90" s="27">
        <f>2+0.189</f>
        <v>2.189</v>
      </c>
      <c r="D90" s="27"/>
      <c r="E90" s="27"/>
      <c r="F90" s="27"/>
      <c r="G90" s="27"/>
      <c r="H90" s="27"/>
      <c r="I90" s="27"/>
      <c r="J90" s="27"/>
      <c r="K90" s="27"/>
      <c r="L90" s="27"/>
      <c r="M90" s="27">
        <f>SUM(C90,F90)</f>
        <v>2.189</v>
      </c>
      <c r="N90" s="24"/>
    </row>
    <row r="91" spans="1:14" ht="38.25" customHeight="1">
      <c r="A91" s="44" t="s">
        <v>86</v>
      </c>
      <c r="B91" s="18" t="s">
        <v>162</v>
      </c>
      <c r="C91" s="27">
        <f>3193.6+34+12.63-55.1-4.6</f>
        <v>3180.53</v>
      </c>
      <c r="D91" s="27">
        <f>2020.5+24.9-40.5</f>
        <v>2004.9</v>
      </c>
      <c r="E91" s="27">
        <v>119.8</v>
      </c>
      <c r="F91" s="27">
        <f>G91+J91</f>
        <v>164.6</v>
      </c>
      <c r="G91" s="27">
        <v>160</v>
      </c>
      <c r="H91" s="27">
        <v>12.5</v>
      </c>
      <c r="I91" s="27"/>
      <c r="J91" s="27">
        <v>4.6</v>
      </c>
      <c r="K91" s="27">
        <v>4.6</v>
      </c>
      <c r="L91" s="27">
        <v>4.6</v>
      </c>
      <c r="M91" s="27">
        <f t="shared" si="6"/>
        <v>3345.13</v>
      </c>
      <c r="N91" s="24"/>
    </row>
    <row r="92" spans="1:14" ht="68.25" customHeight="1">
      <c r="A92" s="44" t="s">
        <v>151</v>
      </c>
      <c r="B92" s="18" t="s">
        <v>152</v>
      </c>
      <c r="C92" s="27">
        <f>160+5.163</f>
        <v>165.163</v>
      </c>
      <c r="D92" s="27"/>
      <c r="E92" s="27"/>
      <c r="F92" s="27"/>
      <c r="G92" s="27"/>
      <c r="H92" s="27"/>
      <c r="I92" s="27"/>
      <c r="J92" s="27"/>
      <c r="K92" s="27"/>
      <c r="L92" s="27"/>
      <c r="M92" s="27">
        <f t="shared" si="6"/>
        <v>165.163</v>
      </c>
      <c r="N92" s="24"/>
    </row>
    <row r="93" spans="1:14" ht="36" customHeight="1">
      <c r="A93" s="44" t="s">
        <v>168</v>
      </c>
      <c r="B93" s="18" t="s">
        <v>169</v>
      </c>
      <c r="C93" s="59">
        <f>333.9+0.418</f>
        <v>334.318</v>
      </c>
      <c r="D93" s="59">
        <v>176.3</v>
      </c>
      <c r="E93" s="59">
        <v>18.6</v>
      </c>
      <c r="F93" s="27"/>
      <c r="G93" s="27"/>
      <c r="H93" s="27"/>
      <c r="I93" s="27"/>
      <c r="J93" s="27"/>
      <c r="K93" s="27"/>
      <c r="L93" s="27"/>
      <c r="M93" s="27">
        <f t="shared" si="6"/>
        <v>334.318</v>
      </c>
      <c r="N93" s="24"/>
    </row>
    <row r="94" spans="1:14" ht="80.25" customHeight="1">
      <c r="A94" s="44" t="s">
        <v>149</v>
      </c>
      <c r="B94" s="18" t="s">
        <v>167</v>
      </c>
      <c r="C94" s="27">
        <f>1.5+0.037</f>
        <v>1.537</v>
      </c>
      <c r="D94" s="27"/>
      <c r="E94" s="27"/>
      <c r="F94" s="27"/>
      <c r="G94" s="27"/>
      <c r="H94" s="27"/>
      <c r="I94" s="27"/>
      <c r="J94" s="27"/>
      <c r="K94" s="27"/>
      <c r="L94" s="27"/>
      <c r="M94" s="27">
        <f t="shared" si="6"/>
        <v>1.537</v>
      </c>
      <c r="N94" s="24"/>
    </row>
    <row r="95" spans="1:14" ht="30" customHeight="1">
      <c r="A95" s="44" t="s">
        <v>94</v>
      </c>
      <c r="B95" s="18" t="s">
        <v>150</v>
      </c>
      <c r="C95" s="27">
        <v>40.9</v>
      </c>
      <c r="D95" s="27"/>
      <c r="E95" s="27"/>
      <c r="F95" s="27"/>
      <c r="G95" s="27"/>
      <c r="H95" s="27"/>
      <c r="I95" s="27"/>
      <c r="J95" s="27"/>
      <c r="K95" s="27"/>
      <c r="L95" s="27"/>
      <c r="M95" s="27">
        <f t="shared" si="6"/>
        <v>40.9</v>
      </c>
      <c r="N95" s="24"/>
    </row>
    <row r="96" spans="1:14" ht="53.25" customHeight="1">
      <c r="A96" s="44" t="s">
        <v>87</v>
      </c>
      <c r="B96" s="18" t="s">
        <v>104</v>
      </c>
      <c r="C96" s="27">
        <f>6247-500</f>
        <v>5747</v>
      </c>
      <c r="D96" s="27"/>
      <c r="E96" s="27"/>
      <c r="F96" s="27"/>
      <c r="G96" s="27"/>
      <c r="H96" s="27"/>
      <c r="I96" s="27"/>
      <c r="J96" s="27"/>
      <c r="K96" s="27"/>
      <c r="L96" s="27"/>
      <c r="M96" s="27">
        <f t="shared" si="6"/>
        <v>5747</v>
      </c>
      <c r="N96" s="24"/>
    </row>
    <row r="97" spans="1:14" ht="50.25" customHeight="1" hidden="1">
      <c r="A97" s="44"/>
      <c r="B97" s="18"/>
      <c r="C97" s="27"/>
      <c r="D97" s="27"/>
      <c r="E97" s="27"/>
      <c r="F97" s="27"/>
      <c r="G97" s="27"/>
      <c r="H97" s="27"/>
      <c r="I97" s="27"/>
      <c r="J97" s="27"/>
      <c r="K97" s="27"/>
      <c r="L97" s="27"/>
      <c r="M97" s="27">
        <f t="shared" si="6"/>
        <v>0</v>
      </c>
      <c r="N97" s="24"/>
    </row>
    <row r="98" spans="1:14" ht="63" customHeight="1">
      <c r="A98" s="44" t="s">
        <v>117</v>
      </c>
      <c r="B98" s="31" t="s">
        <v>118</v>
      </c>
      <c r="C98" s="27">
        <v>8.664</v>
      </c>
      <c r="D98" s="27"/>
      <c r="E98" s="27"/>
      <c r="F98" s="27"/>
      <c r="G98" s="27"/>
      <c r="H98" s="27"/>
      <c r="I98" s="27"/>
      <c r="J98" s="27"/>
      <c r="K98" s="27"/>
      <c r="L98" s="27"/>
      <c r="M98" s="27">
        <f t="shared" si="6"/>
        <v>8.664</v>
      </c>
      <c r="N98" s="24"/>
    </row>
    <row r="99" spans="1:14" ht="33" customHeight="1">
      <c r="A99" s="44" t="s">
        <v>88</v>
      </c>
      <c r="B99" s="18" t="s">
        <v>105</v>
      </c>
      <c r="C99" s="27">
        <v>0.336</v>
      </c>
      <c r="D99" s="27"/>
      <c r="E99" s="27"/>
      <c r="F99" s="27"/>
      <c r="G99" s="27"/>
      <c r="H99" s="27"/>
      <c r="I99" s="27"/>
      <c r="J99" s="27"/>
      <c r="K99" s="27"/>
      <c r="L99" s="27"/>
      <c r="M99" s="27">
        <f t="shared" si="6"/>
        <v>0.336</v>
      </c>
      <c r="N99" s="24"/>
    </row>
    <row r="100" spans="1:14" ht="48.75" customHeight="1">
      <c r="A100" s="44" t="s">
        <v>89</v>
      </c>
      <c r="B100" s="18" t="s">
        <v>106</v>
      </c>
      <c r="C100" s="27">
        <v>65</v>
      </c>
      <c r="D100" s="27"/>
      <c r="E100" s="27"/>
      <c r="F100" s="27"/>
      <c r="G100" s="27"/>
      <c r="H100" s="27"/>
      <c r="I100" s="27"/>
      <c r="J100" s="27"/>
      <c r="K100" s="27"/>
      <c r="L100" s="27"/>
      <c r="M100" s="27">
        <f t="shared" si="6"/>
        <v>65</v>
      </c>
      <c r="N100" s="24"/>
    </row>
    <row r="101" spans="1:14" ht="51" customHeight="1">
      <c r="A101" s="44" t="s">
        <v>90</v>
      </c>
      <c r="B101" s="18" t="s">
        <v>107</v>
      </c>
      <c r="C101" s="27">
        <f>112.926-10.616-1.5</f>
        <v>100.81</v>
      </c>
      <c r="D101" s="27"/>
      <c r="E101" s="27"/>
      <c r="F101" s="27"/>
      <c r="G101" s="27"/>
      <c r="H101" s="27"/>
      <c r="I101" s="27"/>
      <c r="J101" s="27"/>
      <c r="K101" s="27"/>
      <c r="L101" s="27"/>
      <c r="M101" s="27">
        <f t="shared" si="6"/>
        <v>100.81</v>
      </c>
      <c r="N101" s="24"/>
    </row>
    <row r="102" spans="1:14" ht="30.75" customHeight="1">
      <c r="A102" s="44" t="s">
        <v>91</v>
      </c>
      <c r="B102" s="18" t="s">
        <v>108</v>
      </c>
      <c r="C102" s="27">
        <v>338.2</v>
      </c>
      <c r="D102" s="27"/>
      <c r="E102" s="27"/>
      <c r="F102" s="27"/>
      <c r="G102" s="27"/>
      <c r="H102" s="27"/>
      <c r="I102" s="27"/>
      <c r="J102" s="27"/>
      <c r="K102" s="27"/>
      <c r="L102" s="27"/>
      <c r="M102" s="27">
        <f t="shared" si="6"/>
        <v>338.2</v>
      </c>
      <c r="N102" s="24"/>
    </row>
    <row r="103" spans="1:14" s="20" customFormat="1" ht="24.75" customHeight="1">
      <c r="A103" s="43"/>
      <c r="B103" s="8" t="s">
        <v>10</v>
      </c>
      <c r="C103" s="30">
        <f>C102+C57+C101+C100</f>
        <v>58045.64399999999</v>
      </c>
      <c r="D103" s="30">
        <f>D102+D57+D101+D100</f>
        <v>2640.9860000000003</v>
      </c>
      <c r="E103" s="30">
        <f>E102+E57+E101+E100</f>
        <v>147.167</v>
      </c>
      <c r="F103" s="30">
        <f aca="true" t="shared" si="7" ref="F103:L103">F102+F57</f>
        <v>211.20999999999998</v>
      </c>
      <c r="G103" s="30">
        <f t="shared" si="7"/>
        <v>160</v>
      </c>
      <c r="H103" s="30">
        <f t="shared" si="7"/>
        <v>12.5</v>
      </c>
      <c r="I103" s="30">
        <f t="shared" si="7"/>
        <v>0</v>
      </c>
      <c r="J103" s="30">
        <f t="shared" si="7"/>
        <v>51.21</v>
      </c>
      <c r="K103" s="30">
        <f t="shared" si="7"/>
        <v>51.21</v>
      </c>
      <c r="L103" s="30">
        <f t="shared" si="7"/>
        <v>51.21</v>
      </c>
      <c r="M103" s="58">
        <f>C103+F103</f>
        <v>58256.85399999999</v>
      </c>
      <c r="N103" s="22"/>
    </row>
    <row r="104" spans="1:14" s="20" customFormat="1" ht="15.75">
      <c r="A104" s="45"/>
      <c r="B104" s="19"/>
      <c r="C104" s="27"/>
      <c r="D104" s="27"/>
      <c r="E104" s="27"/>
      <c r="F104" s="27"/>
      <c r="G104" s="27"/>
      <c r="H104" s="27"/>
      <c r="I104" s="27"/>
      <c r="J104" s="27"/>
      <c r="K104" s="27"/>
      <c r="L104" s="27"/>
      <c r="M104" s="27"/>
      <c r="N104" s="61"/>
    </row>
    <row r="105" spans="1:14" ht="15.75">
      <c r="A105" s="43" t="s">
        <v>178</v>
      </c>
      <c r="B105" s="11" t="s">
        <v>209</v>
      </c>
      <c r="C105" s="27"/>
      <c r="D105" s="27"/>
      <c r="E105" s="27"/>
      <c r="F105" s="27"/>
      <c r="G105" s="27"/>
      <c r="H105" s="27"/>
      <c r="I105" s="27"/>
      <c r="J105" s="27"/>
      <c r="K105" s="27"/>
      <c r="L105" s="27"/>
      <c r="M105" s="27"/>
      <c r="N105" s="24"/>
    </row>
    <row r="106" spans="1:14" ht="15.75">
      <c r="A106" s="50" t="s">
        <v>13</v>
      </c>
      <c r="B106" s="8" t="s">
        <v>12</v>
      </c>
      <c r="C106" s="30">
        <f>C111+C107+C108+C109+C110</f>
        <v>3937.157</v>
      </c>
      <c r="D106" s="30">
        <f>D111+D107+D108+D109+D110</f>
        <v>2593.9</v>
      </c>
      <c r="E106" s="30">
        <f>E111+E107+E108+E109+E110</f>
        <v>286.90000000000003</v>
      </c>
      <c r="F106" s="30">
        <f>F111+F107+F108+F109+F110</f>
        <v>66.55</v>
      </c>
      <c r="G106" s="30">
        <f>H109+G111+G107+G108+G109+G110</f>
        <v>50.699999999999996</v>
      </c>
      <c r="H106" s="30">
        <f>I109+H111+H107+H108+H109+H110</f>
        <v>27.37</v>
      </c>
      <c r="I106" s="30">
        <f>J109+I111+I107+I108+I109+I110</f>
        <v>0</v>
      </c>
      <c r="J106" s="30">
        <f>K109+J111+J107+J108+J109+J110</f>
        <v>15.850000000000001</v>
      </c>
      <c r="K106" s="30">
        <f>L109+K111+K107+K108+K109+K110</f>
        <v>15.850000000000001</v>
      </c>
      <c r="L106" s="30">
        <f>L111+L107+L108+L109+L110</f>
        <v>15.850000000000001</v>
      </c>
      <c r="M106" s="30">
        <f>M111+M107+M108+M109+M110</f>
        <v>4003.707</v>
      </c>
      <c r="N106" s="24"/>
    </row>
    <row r="107" spans="1:14" ht="15.75">
      <c r="A107" s="43" t="s">
        <v>20</v>
      </c>
      <c r="B107" s="9" t="s">
        <v>14</v>
      </c>
      <c r="C107" s="27">
        <f>1806.9+17.997-11.72</f>
        <v>1813.1770000000001</v>
      </c>
      <c r="D107" s="59">
        <f>1241.3-13.5</f>
        <v>1227.8</v>
      </c>
      <c r="E107" s="27">
        <v>90.7</v>
      </c>
      <c r="F107" s="27">
        <f>G107+J107</f>
        <v>15.850000000000001</v>
      </c>
      <c r="G107" s="27"/>
      <c r="H107" s="27"/>
      <c r="I107" s="27"/>
      <c r="J107" s="27">
        <f>3.55+12.3</f>
        <v>15.850000000000001</v>
      </c>
      <c r="K107" s="22">
        <f>3.55+12.3</f>
        <v>15.850000000000001</v>
      </c>
      <c r="L107" s="27">
        <f>3.55+12.3</f>
        <v>15.850000000000001</v>
      </c>
      <c r="M107" s="27">
        <f aca="true" t="shared" si="8" ref="M107:M113">SUM(C107,F107)</f>
        <v>1829.027</v>
      </c>
      <c r="N107" s="24"/>
    </row>
    <row r="108" spans="1:14" ht="15.75">
      <c r="A108" s="43" t="s">
        <v>21</v>
      </c>
      <c r="B108" s="9" t="s">
        <v>15</v>
      </c>
      <c r="C108" s="27">
        <f>359.5+0.57-5.6</f>
        <v>354.46999999999997</v>
      </c>
      <c r="D108" s="59">
        <f>226.9-3.5</f>
        <v>223.4</v>
      </c>
      <c r="E108" s="27">
        <f>47.5-2.5</f>
        <v>45</v>
      </c>
      <c r="F108" s="27"/>
      <c r="G108" s="27"/>
      <c r="H108" s="27"/>
      <c r="I108" s="27"/>
      <c r="J108" s="27"/>
      <c r="K108" s="27"/>
      <c r="L108" s="27"/>
      <c r="M108" s="27">
        <f t="shared" si="8"/>
        <v>354.46999999999997</v>
      </c>
      <c r="N108" s="24"/>
    </row>
    <row r="109" spans="1:14" ht="33.75" customHeight="1">
      <c r="A109" s="44" t="s">
        <v>23</v>
      </c>
      <c r="B109" s="18" t="s">
        <v>29</v>
      </c>
      <c r="C109" s="27">
        <f>755.7+23.944+1.9</f>
        <v>781.544</v>
      </c>
      <c r="D109" s="59">
        <v>463.8</v>
      </c>
      <c r="E109" s="27">
        <v>105.9</v>
      </c>
      <c r="F109" s="27">
        <f>G109+J109</f>
        <v>12</v>
      </c>
      <c r="G109" s="27">
        <v>12</v>
      </c>
      <c r="H109" s="22"/>
      <c r="I109" s="27"/>
      <c r="J109" s="27"/>
      <c r="K109" s="27"/>
      <c r="L109" s="27"/>
      <c r="M109" s="27">
        <f t="shared" si="8"/>
        <v>793.544</v>
      </c>
      <c r="N109" s="24"/>
    </row>
    <row r="110" spans="1:14" ht="19.5" customHeight="1">
      <c r="A110" s="44" t="s">
        <v>0</v>
      </c>
      <c r="B110" s="18" t="s">
        <v>1</v>
      </c>
      <c r="C110" s="27">
        <f>773.7+0.897+1</f>
        <v>775.5970000000001</v>
      </c>
      <c r="D110" s="59">
        <v>541.9</v>
      </c>
      <c r="E110" s="27">
        <v>32.4</v>
      </c>
      <c r="F110" s="27">
        <f>G110+J110</f>
        <v>37.3</v>
      </c>
      <c r="G110" s="27">
        <v>37.3</v>
      </c>
      <c r="H110" s="27">
        <v>27.37</v>
      </c>
      <c r="I110" s="27"/>
      <c r="J110" s="27"/>
      <c r="K110" s="27"/>
      <c r="L110" s="27"/>
      <c r="M110" s="27">
        <f t="shared" si="8"/>
        <v>812.897</v>
      </c>
      <c r="N110" s="24"/>
    </row>
    <row r="111" spans="1:14" ht="15.75">
      <c r="A111" s="44" t="s">
        <v>24</v>
      </c>
      <c r="B111" s="18" t="s">
        <v>16</v>
      </c>
      <c r="C111" s="27">
        <f>207.9+2.349+2.12</f>
        <v>212.369</v>
      </c>
      <c r="D111" s="59">
        <v>137</v>
      </c>
      <c r="E111" s="27">
        <f>15.4-2.5</f>
        <v>12.9</v>
      </c>
      <c r="F111" s="27">
        <f>G111+J111</f>
        <v>1.4</v>
      </c>
      <c r="G111" s="27">
        <v>1.4</v>
      </c>
      <c r="H111" s="22"/>
      <c r="I111" s="27"/>
      <c r="J111" s="27"/>
      <c r="K111" s="27"/>
      <c r="L111" s="27"/>
      <c r="M111" s="27">
        <f t="shared" si="8"/>
        <v>213.769</v>
      </c>
      <c r="N111" s="24"/>
    </row>
    <row r="112" spans="1:14" ht="15.75">
      <c r="A112" s="44"/>
      <c r="B112" s="17" t="s">
        <v>10</v>
      </c>
      <c r="C112" s="30">
        <f aca="true" t="shared" si="9" ref="C112:L112">C107+C108+C109+C110+C111</f>
        <v>3937.157</v>
      </c>
      <c r="D112" s="30">
        <f t="shared" si="9"/>
        <v>2593.9</v>
      </c>
      <c r="E112" s="30">
        <f t="shared" si="9"/>
        <v>286.9</v>
      </c>
      <c r="F112" s="30">
        <f>F107+F108+F109+F110+F111</f>
        <v>66.55000000000001</v>
      </c>
      <c r="G112" s="30">
        <f t="shared" si="9"/>
        <v>50.699999999999996</v>
      </c>
      <c r="H112" s="30">
        <f t="shared" si="9"/>
        <v>27.37</v>
      </c>
      <c r="I112" s="30">
        <f t="shared" si="9"/>
        <v>0</v>
      </c>
      <c r="J112" s="30">
        <f t="shared" si="9"/>
        <v>15.850000000000001</v>
      </c>
      <c r="K112" s="30">
        <f t="shared" si="9"/>
        <v>15.850000000000001</v>
      </c>
      <c r="L112" s="30">
        <f t="shared" si="9"/>
        <v>15.850000000000001</v>
      </c>
      <c r="M112" s="30">
        <f t="shared" si="8"/>
        <v>4003.7070000000003</v>
      </c>
      <c r="N112" s="24"/>
    </row>
    <row r="113" spans="1:14" ht="14.25" customHeight="1" hidden="1">
      <c r="A113" s="43"/>
      <c r="B113" s="8"/>
      <c r="C113" s="30"/>
      <c r="D113" s="27"/>
      <c r="E113" s="27"/>
      <c r="F113" s="27"/>
      <c r="G113" s="27"/>
      <c r="H113" s="27"/>
      <c r="I113" s="27"/>
      <c r="J113" s="27"/>
      <c r="K113" s="27"/>
      <c r="L113" s="27"/>
      <c r="M113" s="27">
        <f t="shared" si="8"/>
        <v>0</v>
      </c>
      <c r="N113" s="24"/>
    </row>
    <row r="114" spans="1:14" ht="21.75" customHeight="1">
      <c r="A114" s="44" t="s">
        <v>179</v>
      </c>
      <c r="B114" s="17" t="s">
        <v>2</v>
      </c>
      <c r="C114" s="27"/>
      <c r="D114" s="27"/>
      <c r="E114" s="27"/>
      <c r="F114" s="27"/>
      <c r="G114" s="27"/>
      <c r="H114" s="27"/>
      <c r="I114" s="27"/>
      <c r="J114" s="27"/>
      <c r="K114" s="27"/>
      <c r="L114" s="27"/>
      <c r="M114" s="27"/>
      <c r="N114" s="24"/>
    </row>
    <row r="115" spans="1:14" ht="51" customHeight="1" hidden="1">
      <c r="A115" s="43"/>
      <c r="B115" s="18" t="s">
        <v>28</v>
      </c>
      <c r="C115" s="27"/>
      <c r="D115" s="27"/>
      <c r="E115" s="27"/>
      <c r="F115" s="27"/>
      <c r="G115" s="27"/>
      <c r="H115" s="27"/>
      <c r="I115" s="27"/>
      <c r="J115" s="27"/>
      <c r="K115" s="27"/>
      <c r="L115" s="27"/>
      <c r="M115" s="27">
        <f aca="true" t="shared" si="10" ref="M115:M128">SUM(C115,F115)</f>
        <v>0</v>
      </c>
      <c r="N115" s="24"/>
    </row>
    <row r="116" spans="1:14" ht="17.25" customHeight="1">
      <c r="A116" s="43" t="s">
        <v>198</v>
      </c>
      <c r="B116" s="18" t="s">
        <v>199</v>
      </c>
      <c r="C116" s="27">
        <v>10</v>
      </c>
      <c r="D116" s="27"/>
      <c r="E116" s="27"/>
      <c r="F116" s="27"/>
      <c r="G116" s="27"/>
      <c r="H116" s="27"/>
      <c r="I116" s="27"/>
      <c r="J116" s="27"/>
      <c r="K116" s="27"/>
      <c r="L116" s="27"/>
      <c r="M116" s="27">
        <f t="shared" si="10"/>
        <v>10</v>
      </c>
      <c r="N116" s="24"/>
    </row>
    <row r="117" spans="1:14" ht="47.25" customHeight="1">
      <c r="A117" s="39">
        <v>250311</v>
      </c>
      <c r="B117" s="40" t="s">
        <v>163</v>
      </c>
      <c r="C117" s="27">
        <v>7269.926</v>
      </c>
      <c r="D117" s="27"/>
      <c r="E117" s="27"/>
      <c r="F117" s="27"/>
      <c r="G117" s="27"/>
      <c r="H117" s="27"/>
      <c r="I117" s="27"/>
      <c r="J117" s="27"/>
      <c r="K117" s="27"/>
      <c r="L117" s="27"/>
      <c r="M117" s="27">
        <f t="shared" si="10"/>
        <v>7269.926</v>
      </c>
      <c r="N117" s="24"/>
    </row>
    <row r="118" spans="1:14" ht="32.25" customHeight="1">
      <c r="A118" s="44" t="s">
        <v>115</v>
      </c>
      <c r="B118" s="28" t="s">
        <v>164</v>
      </c>
      <c r="C118" s="27">
        <v>582.4</v>
      </c>
      <c r="D118" s="27"/>
      <c r="E118" s="27"/>
      <c r="F118" s="27"/>
      <c r="G118" s="27"/>
      <c r="H118" s="27"/>
      <c r="I118" s="27"/>
      <c r="J118" s="27"/>
      <c r="K118" s="27"/>
      <c r="L118" s="27"/>
      <c r="M118" s="27">
        <f t="shared" si="10"/>
        <v>582.4</v>
      </c>
      <c r="N118" s="24"/>
    </row>
    <row r="119" spans="1:14" ht="64.5" customHeight="1" hidden="1">
      <c r="A119" s="44"/>
      <c r="B119" s="28"/>
      <c r="C119" s="27"/>
      <c r="D119" s="27"/>
      <c r="E119" s="27"/>
      <c r="F119" s="27"/>
      <c r="G119" s="27"/>
      <c r="H119" s="27"/>
      <c r="I119" s="27"/>
      <c r="J119" s="27"/>
      <c r="K119" s="27"/>
      <c r="L119" s="27"/>
      <c r="M119" s="27">
        <f t="shared" si="10"/>
        <v>0</v>
      </c>
      <c r="N119" s="24"/>
    </row>
    <row r="120" spans="1:14" ht="82.5" customHeight="1">
      <c r="A120" s="44" t="s">
        <v>202</v>
      </c>
      <c r="B120" s="28" t="s">
        <v>203</v>
      </c>
      <c r="C120" s="27">
        <v>14</v>
      </c>
      <c r="D120" s="27"/>
      <c r="E120" s="27"/>
      <c r="F120" s="27"/>
      <c r="G120" s="27"/>
      <c r="H120" s="27"/>
      <c r="I120" s="27"/>
      <c r="J120" s="27"/>
      <c r="K120" s="27"/>
      <c r="L120" s="27"/>
      <c r="M120" s="27">
        <f t="shared" si="10"/>
        <v>14</v>
      </c>
      <c r="N120" s="24"/>
    </row>
    <row r="121" spans="1:14" ht="48.75" customHeight="1">
      <c r="A121" s="44" t="s">
        <v>170</v>
      </c>
      <c r="B121" s="28" t="s">
        <v>171</v>
      </c>
      <c r="C121" s="27"/>
      <c r="D121" s="27"/>
      <c r="E121" s="27"/>
      <c r="F121" s="64">
        <f>G121+J121</f>
        <v>940.4</v>
      </c>
      <c r="G121" s="64">
        <f>300.9</f>
        <v>300.9</v>
      </c>
      <c r="H121" s="27"/>
      <c r="I121" s="27"/>
      <c r="J121" s="64">
        <f>639.5</f>
        <v>639.5</v>
      </c>
      <c r="K121" s="27"/>
      <c r="L121" s="27"/>
      <c r="M121" s="27">
        <f t="shared" si="10"/>
        <v>940.4</v>
      </c>
      <c r="N121" s="24"/>
    </row>
    <row r="122" spans="1:14" ht="79.5" customHeight="1">
      <c r="A122" s="44" t="s">
        <v>180</v>
      </c>
      <c r="B122" s="71" t="s">
        <v>204</v>
      </c>
      <c r="C122" s="27"/>
      <c r="D122" s="27"/>
      <c r="E122" s="27"/>
      <c r="F122" s="64">
        <f>G122+J122</f>
        <v>125.1116</v>
      </c>
      <c r="G122" s="64">
        <v>71.01333</v>
      </c>
      <c r="H122" s="27"/>
      <c r="I122" s="27"/>
      <c r="J122" s="64">
        <v>54.09827</v>
      </c>
      <c r="K122" s="27"/>
      <c r="L122" s="27"/>
      <c r="M122" s="64">
        <f t="shared" si="10"/>
        <v>125.1116</v>
      </c>
      <c r="N122" s="24"/>
    </row>
    <row r="123" spans="1:14" ht="52.5" customHeight="1">
      <c r="A123" s="44" t="s">
        <v>180</v>
      </c>
      <c r="B123" s="28" t="s">
        <v>197</v>
      </c>
      <c r="C123" s="27">
        <v>120</v>
      </c>
      <c r="D123" s="27"/>
      <c r="E123" s="27"/>
      <c r="F123" s="27"/>
      <c r="G123" s="27"/>
      <c r="H123" s="27"/>
      <c r="I123" s="27"/>
      <c r="J123" s="27"/>
      <c r="K123" s="27"/>
      <c r="L123" s="27"/>
      <c r="M123" s="27">
        <f t="shared" si="10"/>
        <v>120</v>
      </c>
      <c r="N123" s="24"/>
    </row>
    <row r="124" spans="1:14" ht="69.75" customHeight="1">
      <c r="A124" s="44" t="s">
        <v>180</v>
      </c>
      <c r="B124" s="71" t="s">
        <v>205</v>
      </c>
      <c r="C124" s="27">
        <v>5</v>
      </c>
      <c r="D124" s="27"/>
      <c r="E124" s="27"/>
      <c r="F124" s="27"/>
      <c r="G124" s="27"/>
      <c r="H124" s="27"/>
      <c r="I124" s="27"/>
      <c r="J124" s="27"/>
      <c r="K124" s="27"/>
      <c r="L124" s="27"/>
      <c r="M124" s="27">
        <f t="shared" si="10"/>
        <v>5</v>
      </c>
      <c r="N124" s="24"/>
    </row>
    <row r="125" spans="1:14" ht="69.75" customHeight="1">
      <c r="A125" s="44" t="s">
        <v>180</v>
      </c>
      <c r="B125" s="71" t="s">
        <v>215</v>
      </c>
      <c r="C125" s="53">
        <v>40</v>
      </c>
      <c r="D125" s="27"/>
      <c r="E125" s="27"/>
      <c r="F125" s="27"/>
      <c r="G125" s="27"/>
      <c r="H125" s="27"/>
      <c r="I125" s="27"/>
      <c r="J125" s="27"/>
      <c r="K125" s="27"/>
      <c r="L125" s="27"/>
      <c r="M125" s="27">
        <f t="shared" si="10"/>
        <v>40</v>
      </c>
      <c r="N125" s="24"/>
    </row>
    <row r="126" spans="1:14" ht="18.75" customHeight="1">
      <c r="A126" s="44"/>
      <c r="B126" s="18" t="s">
        <v>216</v>
      </c>
      <c r="C126" s="76"/>
      <c r="D126" s="27"/>
      <c r="E126" s="27"/>
      <c r="F126" s="27"/>
      <c r="G126" s="27"/>
      <c r="H126" s="27"/>
      <c r="I126" s="27"/>
      <c r="J126" s="27"/>
      <c r="K126" s="27"/>
      <c r="L126" s="27"/>
      <c r="M126" s="27"/>
      <c r="N126" s="24"/>
    </row>
    <row r="127" spans="1:14" ht="69.75" customHeight="1">
      <c r="A127" s="44"/>
      <c r="B127" s="18" t="s">
        <v>217</v>
      </c>
      <c r="C127" s="53">
        <v>20</v>
      </c>
      <c r="D127" s="27"/>
      <c r="E127" s="27"/>
      <c r="F127" s="27"/>
      <c r="G127" s="27"/>
      <c r="H127" s="27"/>
      <c r="I127" s="27"/>
      <c r="J127" s="27"/>
      <c r="K127" s="27"/>
      <c r="L127" s="27"/>
      <c r="M127" s="27">
        <f t="shared" si="10"/>
        <v>20</v>
      </c>
      <c r="N127" s="24"/>
    </row>
    <row r="128" spans="1:14" ht="54.75" customHeight="1">
      <c r="A128" s="44"/>
      <c r="B128" s="18" t="s">
        <v>218</v>
      </c>
      <c r="C128" s="53">
        <v>20</v>
      </c>
      <c r="D128" s="27"/>
      <c r="E128" s="27"/>
      <c r="F128" s="27"/>
      <c r="G128" s="27"/>
      <c r="H128" s="27"/>
      <c r="I128" s="27"/>
      <c r="J128" s="27"/>
      <c r="K128" s="27"/>
      <c r="L128" s="27"/>
      <c r="M128" s="27">
        <f t="shared" si="10"/>
        <v>20</v>
      </c>
      <c r="N128" s="24"/>
    </row>
    <row r="129" spans="1:14" ht="14.25" customHeight="1">
      <c r="A129" s="44"/>
      <c r="B129" s="41" t="s">
        <v>3</v>
      </c>
      <c r="C129" s="57">
        <f>C117+C118+C121+C123+C116+C120+C124+C125</f>
        <v>8041.326</v>
      </c>
      <c r="D129" s="7"/>
      <c r="E129" s="22"/>
      <c r="F129" s="69">
        <f>G129+J129</f>
        <v>1065.5115999999998</v>
      </c>
      <c r="G129" s="57">
        <f>G117+G118+G121+G123+G116+G120+G124+G122</f>
        <v>371.91333</v>
      </c>
      <c r="H129" s="57">
        <f>H117+H118+H121+H123+H116+H120+H124+H122</f>
        <v>0</v>
      </c>
      <c r="I129" s="57">
        <f>I117+I118+I121+I123+I116+I120+I124+I122</f>
        <v>0</v>
      </c>
      <c r="J129" s="57">
        <f>J117+J118+J121+J123+J116+J120+J124+J122</f>
        <v>693.59827</v>
      </c>
      <c r="K129" s="57">
        <f>K117+K118+K121+K123+K116+K120+K124+K122</f>
        <v>0</v>
      </c>
      <c r="L129" s="57">
        <f>L117+L118+L121</f>
        <v>0</v>
      </c>
      <c r="M129" s="27">
        <f>SUM(C129,F129)</f>
        <v>9106.837599999999</v>
      </c>
      <c r="N129" s="24"/>
    </row>
    <row r="130" spans="1:14" ht="61.5" customHeight="1" hidden="1">
      <c r="A130" s="44"/>
      <c r="B130" s="40"/>
      <c r="C130" s="27"/>
      <c r="D130" s="27"/>
      <c r="E130" s="27"/>
      <c r="F130" s="27"/>
      <c r="G130" s="27"/>
      <c r="H130" s="27"/>
      <c r="I130" s="27"/>
      <c r="J130" s="27"/>
      <c r="K130" s="27"/>
      <c r="L130" s="27"/>
      <c r="M130" s="27"/>
      <c r="N130" s="24"/>
    </row>
    <row r="131" spans="1:14" ht="18.75">
      <c r="A131" s="43"/>
      <c r="B131" s="26" t="s">
        <v>131</v>
      </c>
      <c r="C131" s="70">
        <f>C129+C112+C103+C55+C43+C18</f>
        <v>137483.80821</v>
      </c>
      <c r="D131" s="70">
        <f>D129+D112+D103+D55+D43+D18</f>
        <v>44092.38508</v>
      </c>
      <c r="E131" s="30">
        <f>E129+E112+E103+E55+E43+E18</f>
        <v>8185.9220000000005</v>
      </c>
      <c r="F131" s="70">
        <f>G131+J131</f>
        <v>2842.9286</v>
      </c>
      <c r="G131" s="70">
        <f aca="true" t="shared" si="11" ref="G131:L131">G129+G112+G103+G55+G43+G18</f>
        <v>1169.31233</v>
      </c>
      <c r="H131" s="30">
        <f t="shared" si="11"/>
        <v>164.87</v>
      </c>
      <c r="I131" s="30">
        <f t="shared" si="11"/>
        <v>0</v>
      </c>
      <c r="J131" s="70">
        <f t="shared" si="11"/>
        <v>1673.61627</v>
      </c>
      <c r="K131" s="30">
        <f t="shared" si="11"/>
        <v>646.155</v>
      </c>
      <c r="L131" s="30">
        <f t="shared" si="11"/>
        <v>394.945</v>
      </c>
      <c r="M131" s="70">
        <f>C131+F131</f>
        <v>140326.73681</v>
      </c>
      <c r="N131" s="24"/>
    </row>
    <row r="132" spans="1:16" ht="31.5">
      <c r="A132" s="43"/>
      <c r="B132" s="9" t="s">
        <v>116</v>
      </c>
      <c r="C132" s="27">
        <f>C102+C101+C100+C96+C83+C82+C81+C80+C79+C78+C77+C76+C75+C74+C73+C72+C71+C69+C68+C67+C66+C65+C63+C61+C60+C59+C58</f>
        <v>53156.299999999996</v>
      </c>
      <c r="D132" s="27"/>
      <c r="E132" s="27"/>
      <c r="F132" s="64">
        <f>G132+J132</f>
        <v>1566.3736</v>
      </c>
      <c r="G132" s="64">
        <f>G102+G101+G100+G96+G83+G82+G81+G80+G79+G78+G77+G76+G75+G74+G73+G72+G71+G69+G68+G67+G66+G65+G63+G61+G60+G59+G58+G121+G38+G122</f>
        <v>538.91233</v>
      </c>
      <c r="H132" s="27"/>
      <c r="I132" s="27"/>
      <c r="J132" s="64">
        <f>J102+J101+J100+J96+J83+J82+J81+J80+J79+J78+J77+J76+J75+J74+J73+J72+J71+J69+J68+J67+J66+J65+J63+J61+J60+J59+J58+J121+J38+J122</f>
        <v>1027.46127</v>
      </c>
      <c r="K132" s="27">
        <f>K60</f>
        <v>0</v>
      </c>
      <c r="L132" s="27">
        <f>L60</f>
        <v>0</v>
      </c>
      <c r="M132" s="64">
        <f>F132+C132</f>
        <v>54722.673599999995</v>
      </c>
      <c r="N132" s="24"/>
      <c r="P132" s="24"/>
    </row>
    <row r="133" spans="1:14" ht="23.25" customHeight="1">
      <c r="A133" s="6"/>
      <c r="B133" s="79" t="s">
        <v>142</v>
      </c>
      <c r="C133" s="79"/>
      <c r="D133" s="7"/>
      <c r="F133" s="54"/>
      <c r="G133" s="94" t="s">
        <v>143</v>
      </c>
      <c r="H133" s="94"/>
      <c r="I133" s="94"/>
      <c r="J133" s="94"/>
      <c r="K133" s="12"/>
      <c r="L133" s="16" t="s">
        <v>110</v>
      </c>
      <c r="M133" s="12"/>
      <c r="N133" s="68"/>
    </row>
    <row r="134" spans="1:13" ht="12.75" customHeight="1">
      <c r="A134" s="6"/>
      <c r="B134" s="8"/>
      <c r="C134" s="22"/>
      <c r="D134" s="22"/>
      <c r="E134" s="22"/>
      <c r="F134" s="12"/>
      <c r="G134" s="12"/>
      <c r="H134" s="12"/>
      <c r="I134" s="12"/>
      <c r="J134" s="12"/>
      <c r="K134" s="12"/>
      <c r="L134" s="12"/>
      <c r="M134" s="12"/>
    </row>
    <row r="135" spans="1:5" ht="15.75" hidden="1">
      <c r="A135" s="6"/>
      <c r="B135" s="9"/>
      <c r="C135" s="24"/>
      <c r="D135" s="24"/>
      <c r="E135" s="24"/>
    </row>
    <row r="136" spans="1:13" ht="15.75" hidden="1">
      <c r="A136" s="6"/>
      <c r="B136" s="14"/>
      <c r="C136" s="23"/>
      <c r="D136" s="23"/>
      <c r="E136" s="23"/>
      <c r="F136" s="15">
        <f>SUM(G136,J136)</f>
        <v>4</v>
      </c>
      <c r="G136" s="15">
        <f>SUM(G14)</f>
        <v>2</v>
      </c>
      <c r="H136" s="15">
        <f>SUM(H14)</f>
        <v>0</v>
      </c>
      <c r="I136" s="15">
        <f>SUM(I14)</f>
        <v>0</v>
      </c>
      <c r="J136" s="15">
        <f>SUM(J14)</f>
        <v>2</v>
      </c>
      <c r="K136" s="15"/>
      <c r="L136" s="15"/>
      <c r="M136" s="15" t="e">
        <f>SUM(#REF!,F136)</f>
        <v>#REF!</v>
      </c>
    </row>
    <row r="137" spans="1:13" ht="15.75" hidden="1">
      <c r="A137" s="6"/>
      <c r="B137" s="14"/>
      <c r="C137" s="23"/>
      <c r="D137" s="23"/>
      <c r="E137" s="23"/>
      <c r="F137" s="15" t="e">
        <f aca="true" t="shared" si="12" ref="F137:F156">SUM(G137,J137)</f>
        <v>#REF!</v>
      </c>
      <c r="G137" s="15" t="e">
        <f>SUM(#REF!)</f>
        <v>#REF!</v>
      </c>
      <c r="H137" s="15" t="e">
        <f>SUM(#REF!)</f>
        <v>#REF!</v>
      </c>
      <c r="I137" s="15" t="e">
        <f>SUM(#REF!)</f>
        <v>#REF!</v>
      </c>
      <c r="J137" s="15" t="e">
        <f>SUM(#REF!)</f>
        <v>#REF!</v>
      </c>
      <c r="K137" s="15"/>
      <c r="L137" s="15"/>
      <c r="M137" s="15" t="e">
        <f>SUM(#REF!,F137)</f>
        <v>#REF!</v>
      </c>
    </row>
    <row r="138" spans="1:13" ht="15.75" hidden="1">
      <c r="A138" s="6"/>
      <c r="B138" s="14"/>
      <c r="C138" s="23"/>
      <c r="D138" s="23"/>
      <c r="E138" s="23"/>
      <c r="F138" s="15" t="e">
        <f t="shared" si="12"/>
        <v>#REF!</v>
      </c>
      <c r="G138" s="15" t="e">
        <f>SUM(G43,#REF!,#REF!,#REF!,#REF!)</f>
        <v>#REF!</v>
      </c>
      <c r="H138" s="15" t="e">
        <f>SUM(H43,#REF!,#REF!,#REF!,#REF!)</f>
        <v>#REF!</v>
      </c>
      <c r="I138" s="15" t="e">
        <f>SUM(I43,#REF!,#REF!,#REF!,#REF!)</f>
        <v>#REF!</v>
      </c>
      <c r="J138" s="15" t="e">
        <f>SUM(J43,#REF!,#REF!,#REF!,#REF!)</f>
        <v>#REF!</v>
      </c>
      <c r="K138" s="15"/>
      <c r="L138" s="15"/>
      <c r="M138" s="15" t="e">
        <f>SUM(#REF!,F138)</f>
        <v>#REF!</v>
      </c>
    </row>
    <row r="139" spans="1:13" ht="15.75" hidden="1">
      <c r="A139" s="6"/>
      <c r="B139" s="14"/>
      <c r="C139" s="23"/>
      <c r="D139" s="23"/>
      <c r="E139" s="23"/>
      <c r="F139" s="15">
        <f t="shared" si="12"/>
        <v>527.795</v>
      </c>
      <c r="G139" s="15">
        <f>SUM(G45)</f>
        <v>20.2</v>
      </c>
      <c r="H139" s="15">
        <f>SUM(H45)</f>
        <v>0</v>
      </c>
      <c r="I139" s="15">
        <f>SUM(I45)</f>
        <v>0</v>
      </c>
      <c r="J139" s="15">
        <f>SUM(J45)</f>
        <v>507.59499999999997</v>
      </c>
      <c r="K139" s="15"/>
      <c r="L139" s="15"/>
      <c r="M139" s="15" t="e">
        <f>SUM(#REF!,F139)</f>
        <v>#REF!</v>
      </c>
    </row>
    <row r="140" spans="1:13" ht="15.75" hidden="1">
      <c r="A140" s="6"/>
      <c r="B140" s="14"/>
      <c r="C140" s="23"/>
      <c r="D140" s="23"/>
      <c r="E140" s="23"/>
      <c r="F140" s="15" t="e">
        <f t="shared" si="12"/>
        <v>#REF!</v>
      </c>
      <c r="G140" s="15" t="e">
        <f>SUM(G58:G61,#REF!)</f>
        <v>#REF!</v>
      </c>
      <c r="H140" s="15" t="e">
        <f>SUM(H58:H61,#REF!)</f>
        <v>#REF!</v>
      </c>
      <c r="I140" s="15" t="e">
        <f>SUM(I58:I61,#REF!)</f>
        <v>#REF!</v>
      </c>
      <c r="J140" s="15" t="e">
        <f>SUM(J58:J61,#REF!)</f>
        <v>#REF!</v>
      </c>
      <c r="K140" s="15"/>
      <c r="L140" s="15"/>
      <c r="M140" s="15" t="e">
        <f>SUM(#REF!,F140)</f>
        <v>#REF!</v>
      </c>
    </row>
    <row r="141" spans="1:13" ht="12.75" customHeight="1" hidden="1">
      <c r="A141" s="6"/>
      <c r="B141" s="14"/>
      <c r="C141" s="23"/>
      <c r="D141" s="23"/>
      <c r="E141" s="23"/>
      <c r="F141" s="15" t="e">
        <f>SUM(#REF!)</f>
        <v>#REF!</v>
      </c>
      <c r="G141" s="15" t="e">
        <f>SUM(#REF!)</f>
        <v>#REF!</v>
      </c>
      <c r="H141" s="15" t="e">
        <f>SUM(#REF!)</f>
        <v>#REF!</v>
      </c>
      <c r="I141" s="15" t="e">
        <f>SUM(#REF!)</f>
        <v>#REF!</v>
      </c>
      <c r="J141" s="15" t="e">
        <f>SUM(#REF!)</f>
        <v>#REF!</v>
      </c>
      <c r="K141" s="15"/>
      <c r="L141" s="15"/>
      <c r="M141" s="15" t="e">
        <f>SUM(#REF!,F141)</f>
        <v>#REF!</v>
      </c>
    </row>
    <row r="142" spans="1:13" ht="15.75" hidden="1">
      <c r="A142" s="6"/>
      <c r="B142" s="14"/>
      <c r="C142" s="23"/>
      <c r="D142" s="23"/>
      <c r="E142" s="23"/>
      <c r="F142" s="15" t="e">
        <f t="shared" si="12"/>
        <v>#REF!</v>
      </c>
      <c r="G142" s="15" t="e">
        <f>SUM(#REF!,G106)</f>
        <v>#REF!</v>
      </c>
      <c r="H142" s="15" t="e">
        <f>SUM(#REF!,H106)</f>
        <v>#REF!</v>
      </c>
      <c r="I142" s="15" t="e">
        <f>SUM(#REF!,I106)</f>
        <v>#REF!</v>
      </c>
      <c r="J142" s="15" t="e">
        <f>SUM(#REF!,J106)</f>
        <v>#REF!</v>
      </c>
      <c r="K142" s="15"/>
      <c r="L142" s="15"/>
      <c r="M142" s="15" t="e">
        <f>SUM(#REF!,F142)</f>
        <v>#REF!</v>
      </c>
    </row>
    <row r="143" spans="1:13" ht="15.75" hidden="1">
      <c r="A143" s="6"/>
      <c r="B143" s="14"/>
      <c r="C143" s="23"/>
      <c r="D143" s="23"/>
      <c r="E143" s="23"/>
      <c r="F143" s="15" t="e">
        <f t="shared" si="12"/>
        <v>#REF!</v>
      </c>
      <c r="G143" s="15" t="e">
        <f>SUM(#REF!,#REF!)</f>
        <v>#REF!</v>
      </c>
      <c r="H143" s="15" t="e">
        <f>SUM(#REF!,#REF!)</f>
        <v>#REF!</v>
      </c>
      <c r="I143" s="15" t="e">
        <f>SUM(#REF!,#REF!)</f>
        <v>#REF!</v>
      </c>
      <c r="J143" s="15" t="e">
        <f>SUM(#REF!,#REF!)</f>
        <v>#REF!</v>
      </c>
      <c r="K143" s="15"/>
      <c r="L143" s="15"/>
      <c r="M143" s="15" t="e">
        <f>SUM(#REF!,F143)</f>
        <v>#REF!</v>
      </c>
    </row>
    <row r="144" spans="1:13" ht="15.75" hidden="1">
      <c r="A144" s="6"/>
      <c r="B144" s="14"/>
      <c r="C144" s="23"/>
      <c r="D144" s="23"/>
      <c r="E144" s="23"/>
      <c r="F144" s="15" t="e">
        <f t="shared" si="12"/>
        <v>#REF!</v>
      </c>
      <c r="G144" s="15" t="e">
        <f>SUM(#REF!)</f>
        <v>#REF!</v>
      </c>
      <c r="H144" s="15" t="e">
        <f>SUM(#REF!)</f>
        <v>#REF!</v>
      </c>
      <c r="I144" s="15" t="e">
        <f>SUM(#REF!)</f>
        <v>#REF!</v>
      </c>
      <c r="J144" s="15" t="e">
        <f>SUM(#REF!)</f>
        <v>#REF!</v>
      </c>
      <c r="K144" s="15"/>
      <c r="L144" s="15"/>
      <c r="M144" s="15" t="e">
        <f>SUM(#REF!,F144)</f>
        <v>#REF!</v>
      </c>
    </row>
    <row r="145" spans="1:13" ht="15.75" hidden="1">
      <c r="A145" s="6"/>
      <c r="B145" s="14"/>
      <c r="C145" s="23"/>
      <c r="D145" s="23"/>
      <c r="E145" s="23"/>
      <c r="F145" s="15" t="e">
        <f t="shared" si="12"/>
        <v>#REF!</v>
      </c>
      <c r="G145" s="15" t="e">
        <f>SUM(#REF!,#REF!,#REF!,#REF!,#REF!,#REF!,#REF!,#REF!,#REF!,#REF!,#REF!)</f>
        <v>#REF!</v>
      </c>
      <c r="H145" s="15" t="e">
        <f>SUM(#REF!,#REF!,#REF!,#REF!,#REF!,#REF!,#REF!,#REF!,#REF!,#REF!,#REF!)</f>
        <v>#REF!</v>
      </c>
      <c r="I145" s="15" t="e">
        <f>SUM(#REF!,#REF!,#REF!,#REF!,#REF!,#REF!,#REF!,#REF!,#REF!,#REF!,#REF!)</f>
        <v>#REF!</v>
      </c>
      <c r="J145" s="15" t="e">
        <f>SUM(#REF!,#REF!,#REF!,#REF!,#REF!,#REF!,#REF!,#REF!,#REF!,#REF!,#REF!)</f>
        <v>#REF!</v>
      </c>
      <c r="K145" s="15"/>
      <c r="L145" s="15"/>
      <c r="M145" s="15" t="e">
        <f>SUM(#REF!,F145)</f>
        <v>#REF!</v>
      </c>
    </row>
    <row r="146" spans="1:13" ht="15.75" hidden="1">
      <c r="A146" s="6"/>
      <c r="B146" s="14"/>
      <c r="C146" s="23"/>
      <c r="D146" s="23"/>
      <c r="E146" s="23"/>
      <c r="F146" s="15" t="e">
        <f t="shared" si="12"/>
        <v>#REF!</v>
      </c>
      <c r="G146" s="15" t="e">
        <f>SUM(#REF!)</f>
        <v>#REF!</v>
      </c>
      <c r="H146" s="15" t="e">
        <f>SUM(#REF!)</f>
        <v>#REF!</v>
      </c>
      <c r="I146" s="15" t="e">
        <f>SUM(#REF!)</f>
        <v>#REF!</v>
      </c>
      <c r="J146" s="15" t="e">
        <f>SUM(#REF!)</f>
        <v>#REF!</v>
      </c>
      <c r="K146" s="15"/>
      <c r="L146" s="15"/>
      <c r="M146" s="15" t="e">
        <f>SUM(#REF!,F146)</f>
        <v>#REF!</v>
      </c>
    </row>
    <row r="147" spans="1:13" ht="15.75" hidden="1">
      <c r="A147" s="6"/>
      <c r="B147" s="14"/>
      <c r="C147" s="23"/>
      <c r="D147" s="23"/>
      <c r="E147" s="23"/>
      <c r="F147" s="15" t="e">
        <f t="shared" si="12"/>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15.75" hidden="1">
      <c r="A148" s="6"/>
      <c r="B148" s="14"/>
      <c r="C148" s="23"/>
      <c r="D148" s="23"/>
      <c r="E148" s="23"/>
      <c r="F148" s="15" t="e">
        <f t="shared" si="12"/>
        <v>#REF!</v>
      </c>
      <c r="G148" s="15" t="e">
        <f>SUM(#REF!,#REF!)</f>
        <v>#REF!</v>
      </c>
      <c r="H148" s="15" t="e">
        <f>SUM(#REF!,#REF!)</f>
        <v>#REF!</v>
      </c>
      <c r="I148" s="15" t="e">
        <f>SUM(#REF!,#REF!)</f>
        <v>#REF!</v>
      </c>
      <c r="J148" s="15" t="e">
        <f>SUM(#REF!,#REF!)</f>
        <v>#REF!</v>
      </c>
      <c r="K148" s="15"/>
      <c r="L148" s="15"/>
      <c r="M148" s="15" t="e">
        <f>SUM(#REF!,F148)</f>
        <v>#REF!</v>
      </c>
    </row>
    <row r="149" spans="1:13" ht="15.75" hidden="1">
      <c r="A149" s="6"/>
      <c r="B149" s="14"/>
      <c r="C149" s="23"/>
      <c r="D149" s="23"/>
      <c r="E149" s="23"/>
      <c r="F149" s="15" t="e">
        <f t="shared" si="12"/>
        <v>#REF!</v>
      </c>
      <c r="G149" s="15" t="e">
        <f>SUM(#REF!)</f>
        <v>#REF!</v>
      </c>
      <c r="H149" s="15" t="e">
        <f>SUM(#REF!)</f>
        <v>#REF!</v>
      </c>
      <c r="I149" s="15" t="e">
        <f>SUM(#REF!)</f>
        <v>#REF!</v>
      </c>
      <c r="J149" s="15" t="e">
        <f>SUM(#REF!)</f>
        <v>#REF!</v>
      </c>
      <c r="K149" s="15"/>
      <c r="L149" s="15"/>
      <c r="M149" s="15" t="e">
        <f>SUM(#REF!,F149)</f>
        <v>#REF!</v>
      </c>
    </row>
    <row r="150" spans="1:13" ht="15.75" hidden="1">
      <c r="A150" s="5"/>
      <c r="B150" s="14"/>
      <c r="C150" s="23"/>
      <c r="D150" s="23"/>
      <c r="E150" s="23"/>
      <c r="F150" s="15" t="e">
        <f t="shared" si="12"/>
        <v>#REF!</v>
      </c>
      <c r="G150" s="15" t="e">
        <f>SUM(#REF!,#REF!,#REF!,#REF!,#REF!)</f>
        <v>#REF!</v>
      </c>
      <c r="H150" s="15" t="e">
        <f>SUM(#REF!,#REF!,#REF!,#REF!,#REF!)</f>
        <v>#REF!</v>
      </c>
      <c r="I150" s="15" t="e">
        <f>SUM(#REF!,#REF!,#REF!,#REF!,#REF!)</f>
        <v>#REF!</v>
      </c>
      <c r="J150" s="15" t="e">
        <f>SUM(#REF!,#REF!,#REF!,#REF!,#REF!)</f>
        <v>#REF!</v>
      </c>
      <c r="K150" s="15"/>
      <c r="L150" s="15"/>
      <c r="M150" s="15" t="e">
        <f>SUM(#REF!,F150)</f>
        <v>#REF!</v>
      </c>
    </row>
    <row r="151" spans="1:13" ht="15.75" hidden="1">
      <c r="A151" s="5"/>
      <c r="B151" s="14"/>
      <c r="C151" s="23"/>
      <c r="D151" s="23"/>
      <c r="E151" s="23"/>
      <c r="F151" s="15" t="e">
        <f>SUM(#REF!,#REF!,#REF!,#REF!,#REF!,F115)</f>
        <v>#REF!</v>
      </c>
      <c r="G151" s="15" t="e">
        <f>SUM(#REF!,#REF!,#REF!,#REF!,#REF!,G115)</f>
        <v>#REF!</v>
      </c>
      <c r="H151" s="15" t="e">
        <f>SUM(#REF!,#REF!,#REF!,#REF!,#REF!,H115)</f>
        <v>#REF!</v>
      </c>
      <c r="I151" s="15" t="e">
        <f>SUM(#REF!,#REF!,#REF!,#REF!,#REF!,I115)</f>
        <v>#REF!</v>
      </c>
      <c r="J151" s="15" t="e">
        <f>SUM(#REF!,#REF!,#REF!,#REF!,#REF!,J115)</f>
        <v>#REF!</v>
      </c>
      <c r="K151" s="15"/>
      <c r="L151" s="15"/>
      <c r="M151" s="15" t="e">
        <f>SUM(#REF!,F151)</f>
        <v>#REF!</v>
      </c>
    </row>
    <row r="152" spans="1:13" ht="20.25" customHeight="1" hidden="1">
      <c r="A152" s="5"/>
      <c r="B152" s="14"/>
      <c r="C152" s="23"/>
      <c r="D152" s="23"/>
      <c r="E152" s="23"/>
      <c r="F152" s="15" t="e">
        <f t="shared" si="12"/>
        <v>#REF!</v>
      </c>
      <c r="G152" s="15" t="e">
        <f>SUM(#REF!)</f>
        <v>#REF!</v>
      </c>
      <c r="H152" s="15" t="e">
        <f>SUM(#REF!)</f>
        <v>#REF!</v>
      </c>
      <c r="I152" s="15" t="e">
        <f>SUM(#REF!)</f>
        <v>#REF!</v>
      </c>
      <c r="J152" s="15" t="e">
        <f>SUM(#REF!)</f>
        <v>#REF!</v>
      </c>
      <c r="K152" s="15"/>
      <c r="L152" s="15"/>
      <c r="M152" s="15" t="e">
        <f>SUM(#REF!,F152)</f>
        <v>#REF!</v>
      </c>
    </row>
    <row r="153" spans="1:13" ht="21" customHeight="1" hidden="1">
      <c r="A153" s="5"/>
      <c r="B153" s="14"/>
      <c r="C153" s="23"/>
      <c r="D153" s="23"/>
      <c r="E153" s="23"/>
      <c r="F153" s="15" t="e">
        <f t="shared" si="12"/>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5"/>
      <c r="B155" s="14"/>
      <c r="C155" s="23"/>
      <c r="D155" s="23"/>
      <c r="E155" s="23"/>
      <c r="F155" s="15">
        <f t="shared" si="12"/>
        <v>0</v>
      </c>
      <c r="G155" s="15"/>
      <c r="H155" s="15"/>
      <c r="I155" s="15"/>
      <c r="J155" s="15"/>
      <c r="K155" s="15"/>
      <c r="L155" s="15"/>
      <c r="M155" s="15" t="e">
        <f>SUM(#REF!,F155)</f>
        <v>#REF!</v>
      </c>
    </row>
    <row r="156" spans="1:13" ht="19.5" customHeight="1" hidden="1">
      <c r="A156" s="5"/>
      <c r="B156" s="14"/>
      <c r="C156" s="23"/>
      <c r="D156" s="23"/>
      <c r="E156" s="23"/>
      <c r="F156" s="15" t="e">
        <f t="shared" si="12"/>
        <v>#REF!</v>
      </c>
      <c r="G156" s="15" t="e">
        <f>SUM(G136:G154)</f>
        <v>#REF!</v>
      </c>
      <c r="H156" s="15" t="e">
        <f>SUM(H136:H154)</f>
        <v>#REF!</v>
      </c>
      <c r="I156" s="15" t="e">
        <f>SUM(I136:I154)</f>
        <v>#REF!</v>
      </c>
      <c r="J156" s="15" t="e">
        <f>SUM(J136:J154)</f>
        <v>#REF!</v>
      </c>
      <c r="K156" s="15"/>
      <c r="L156" s="15"/>
      <c r="M156" s="15" t="e">
        <f>SUM(#REF!,F156)</f>
        <v>#REF!</v>
      </c>
    </row>
    <row r="157" spans="1:13" ht="19.5" customHeight="1">
      <c r="A157" s="5"/>
      <c r="B157" s="14"/>
      <c r="C157" s="23"/>
      <c r="D157" s="23"/>
      <c r="E157" s="23"/>
      <c r="F157" s="15"/>
      <c r="G157" s="15"/>
      <c r="H157" s="15"/>
      <c r="I157" s="15"/>
      <c r="J157" s="15"/>
      <c r="K157" s="15"/>
      <c r="L157" s="15"/>
      <c r="M157" s="15"/>
    </row>
    <row r="158" spans="1:5" ht="12.75">
      <c r="A158" s="5"/>
      <c r="B158" s="10"/>
      <c r="C158" s="24"/>
      <c r="D158" s="24"/>
      <c r="E158" s="24"/>
    </row>
    <row r="159" spans="1:14" ht="15.75">
      <c r="A159" s="5"/>
      <c r="B159" s="10"/>
      <c r="C159" s="24"/>
      <c r="D159" s="24"/>
      <c r="E159" s="24"/>
      <c r="M159" s="24"/>
      <c r="N159" s="67"/>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5" ht="12.75">
      <c r="A306" s="5"/>
      <c r="B306" s="10"/>
      <c r="C306" s="24"/>
      <c r="D306" s="24"/>
      <c r="E306" s="24"/>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spans="1:2" ht="12.75">
      <c r="A414" s="5"/>
      <c r="B414" s="10"/>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sheetData>
  <sheetProtection/>
  <mergeCells count="20">
    <mergeCell ref="A9:A11"/>
    <mergeCell ref="D9:E9"/>
    <mergeCell ref="D10:D11"/>
    <mergeCell ref="A6:M6"/>
    <mergeCell ref="F9:F11"/>
    <mergeCell ref="G9:G11"/>
    <mergeCell ref="H9:I9"/>
    <mergeCell ref="J9:J11"/>
    <mergeCell ref="H10:H11"/>
    <mergeCell ref="K10:K11"/>
    <mergeCell ref="M8:M11"/>
    <mergeCell ref="K9:L9"/>
    <mergeCell ref="I10:I11"/>
    <mergeCell ref="G133:J133"/>
    <mergeCell ref="C8:E8"/>
    <mergeCell ref="B133:C133"/>
    <mergeCell ref="C9:C11"/>
    <mergeCell ref="F8:L8"/>
    <mergeCell ref="B9:B11"/>
    <mergeCell ref="E10:E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2013-09-09T14:10:00Z</cp:lastPrinted>
  <dcterms:created xsi:type="dcterms:W3CDTF">2002-12-20T15:22:07Z</dcterms:created>
  <dcterms:modified xsi:type="dcterms:W3CDTF">2013-09-09T14:11:12Z</dcterms:modified>
  <cp:category/>
  <cp:version/>
  <cp:contentType/>
  <cp:contentStatus/>
</cp:coreProperties>
</file>