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50" activeTab="0"/>
  </bookViews>
  <sheets>
    <sheet name="Лист1" sheetId="1" r:id="rId1"/>
  </sheets>
  <definedNames>
    <definedName name="_xlnm.Print_Titles" localSheetId="0">'Лист1'!$9:$13</definedName>
    <definedName name="_xlnm.Print_Area" localSheetId="0">'Лист1'!$A$1:$P$182</definedName>
  </definedNames>
  <calcPr fullCalcOnLoad="1"/>
</workbook>
</file>

<file path=xl/sharedStrings.xml><?xml version="1.0" encoding="utf-8"?>
<sst xmlns="http://schemas.openxmlformats.org/spreadsheetml/2006/main" count="369" uniqueCount="336">
  <si>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</si>
  <si>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</si>
  <si>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</si>
  <si>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</si>
  <si>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</si>
  <si>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</si>
  <si>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</si>
  <si>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</si>
  <si>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</si>
  <si>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</si>
  <si>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</si>
  <si>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</si>
  <si>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</si>
  <si>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</si>
  <si>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</si>
  <si>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</si>
  <si>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</si>
  <si>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</si>
  <si>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</si>
  <si>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</si>
  <si>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</si>
  <si>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</si>
  <si>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</si>
  <si>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</si>
  <si>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</si>
  <si>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</si>
  <si>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</si>
  <si>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080101</t>
  </si>
  <si>
    <t>091101</t>
  </si>
  <si>
    <t>070000</t>
  </si>
  <si>
    <t>070201</t>
  </si>
  <si>
    <t>070401</t>
  </si>
  <si>
    <t>070802</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</si>
  <si>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</si>
  <si>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</si>
  <si>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</si>
  <si>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</si>
  <si>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</si>
  <si>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</si>
  <si>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</si>
  <si>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</si>
  <si>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</si>
  <si>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</si>
  <si>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</si>
  <si>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</si>
  <si>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</si>
  <si>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</si>
  <si>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</si>
  <si>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</si>
  <si>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</si>
  <si>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</si>
  <si>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</si>
  <si>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</si>
  <si>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</si>
  <si>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</si>
  <si>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</si>
  <si>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</si>
  <si>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</si>
  <si>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</si>
  <si>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</si>
  <si>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</si>
  <si>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</si>
  <si>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</si>
  <si>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</si>
  <si>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</si>
  <si>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</si>
  <si>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</si>
  <si>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</si>
  <si>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</si>
  <si>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</si>
  <si>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</si>
  <si>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</si>
  <si>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</si>
  <si>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</si>
  <si>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</si>
  <si>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</si>
  <si>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</si>
  <si>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</si>
  <si>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</si>
  <si>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</si>
  <si>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</si>
  <si>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250380</t>
  </si>
  <si>
    <t>070806</t>
  </si>
  <si>
    <t>080800</t>
  </si>
  <si>
    <t>130201</t>
  </si>
  <si>
    <t>250102</t>
  </si>
  <si>
    <t>Резервний фонд</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</si>
  <si>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</si>
  <si>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</si>
  <si>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</si>
  <si>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</si>
  <si>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</si>
  <si>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</si>
  <si>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</si>
  <si>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</si>
  <si>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</si>
  <si>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</si>
  <si>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</si>
  <si>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</si>
  <si>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</si>
  <si>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</si>
  <si>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</si>
  <si>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</si>
  <si>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</si>
  <si>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</si>
  <si>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</si>
  <si>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</si>
  <si>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</si>
  <si>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</si>
  <si>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</si>
  <si>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</si>
  <si>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</si>
  <si>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</si>
  <si>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</si>
  <si>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</si>
  <si>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</si>
  <si>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</si>
  <si>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</si>
  <si>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</si>
  <si>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</si>
  <si>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</si>
  <si>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</si>
  <si>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</si>
  <si>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</si>
  <si>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</si>
  <si>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</si>
  <si>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</si>
  <si>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</si>
  <si>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</si>
  <si>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</si>
  <si>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</si>
  <si>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</si>
  <si>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</si>
  <si>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</si>
  <si>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</si>
  <si>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</si>
  <si>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</si>
  <si>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</si>
  <si>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</si>
  <si>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</si>
  <si>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</si>
  <si>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</si>
  <si>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</si>
  <si>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</si>
  <si>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</si>
  <si>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</si>
  <si>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</si>
  <si>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</si>
  <si>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</si>
  <si>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</si>
  <si>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</si>
  <si>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</si>
  <si>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</si>
  <si>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</si>
  <si>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</si>
  <si>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</si>
  <si>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</si>
  <si>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</si>
  <si>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</si>
  <si>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</si>
  <si>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</si>
  <si>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</si>
  <si>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</si>
  <si>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</si>
  <si>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</si>
  <si>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</si>
  <si>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</si>
  <si>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</si>
  <si>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</si>
  <si>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</si>
  <si>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</si>
  <si>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</si>
  <si>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</si>
  <si>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</si>
  <si>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</si>
  <si>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</si>
  <si>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</si>
  <si>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</si>
  <si>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2414060</t>
  </si>
  <si>
    <t>2414070</t>
  </si>
  <si>
    <t>2414090</t>
  </si>
  <si>
    <t>2414100</t>
  </si>
  <si>
    <t>7618010</t>
  </si>
  <si>
    <t>Централізоване ведення бухгалтерського обліку</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</si>
  <si>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</si>
  <si>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</si>
  <si>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</si>
  <si>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</si>
  <si>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</si>
  <si>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</si>
  <si>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</si>
  <si>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</si>
  <si>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</si>
  <si>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</si>
  <si>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</si>
  <si>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</si>
  <si>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</si>
  <si>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</si>
  <si>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</si>
  <si>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</si>
  <si>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</si>
  <si>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</si>
  <si>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</si>
  <si>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</si>
  <si>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</si>
  <si>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</si>
  <si>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</si>
  <si>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</si>
  <si>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</si>
  <si>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</si>
  <si>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</si>
  <si>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</si>
  <si>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</si>
  <si>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</si>
  <si>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</si>
  <si>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</si>
  <si>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</si>
  <si>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</si>
  <si>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</si>
  <si>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</si>
  <si>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</si>
  <si>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</si>
  <si>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</si>
  <si>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</si>
  <si>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</si>
  <si>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</si>
  <si>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</si>
  <si>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</si>
  <si>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</si>
  <si>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</si>
  <si>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</si>
  <si>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</si>
  <si>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</si>
  <si>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</si>
  <si>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</si>
  <si>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</si>
  <si>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</si>
  <si>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</si>
  <si>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</si>
  <si>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</si>
  <si>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</si>
  <si>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</si>
  <si>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</si>
  <si>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</si>
  <si>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Субвенція з районного бюджету місцевим бюджетам на дошкільну освіту</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</si>
  <si>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</si>
  <si>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</si>
  <si>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</si>
  <si>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</si>
  <si>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</si>
  <si>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</si>
  <si>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</si>
  <si>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</si>
  <si>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</si>
  <si>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</si>
  <si>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</si>
  <si>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</si>
  <si>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</si>
  <si>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</si>
  <si>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</si>
  <si>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</si>
  <si>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</si>
  <si>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</si>
  <si>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1018800</t>
  </si>
  <si>
    <t>1018801</t>
  </si>
  <si>
    <t>2418800</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</si>
  <si>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</si>
  <si>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</si>
  <si>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</si>
  <si>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7618801</t>
  </si>
  <si>
    <t>2418801</t>
  </si>
  <si>
    <t>1011230</t>
  </si>
  <si>
    <t>1011221</t>
  </si>
  <si>
    <t>090802</t>
  </si>
  <si>
    <t>210105</t>
  </si>
  <si>
    <t>Видатки на запобігання та ліквідацію надзвичайних ситуація та наслідків стихійного лиха</t>
  </si>
  <si>
    <t>0317810</t>
  </si>
  <si>
    <t>Заходи державної політики з питань дітей та їх соціального захисту</t>
  </si>
  <si>
    <t>0313112</t>
  </si>
  <si>
    <t>Заклади і заходи з питань дітей та їх соціального захисту</t>
  </si>
  <si>
    <t>0317800</t>
  </si>
  <si>
    <t>Запобігання та ліквідація надзвичайних ситуацій та наслідків стихійного лиха</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</si>
  <si>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</si>
  <si>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</si>
  <si>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Уточнений розподіл видатків районного бюджету на 2015 рік за головними розпорядниками коштів у розрізі бюджетних програм</t>
  </si>
  <si>
    <t>Додаток 3-1</t>
  </si>
  <si>
    <t>091103</t>
  </si>
  <si>
    <t>1013140</t>
  </si>
  <si>
    <t>Заходи державної політики з питань молоді</t>
  </si>
  <si>
    <t>Відділ освіти, молоді і спорту райдержадміністрації</t>
  </si>
  <si>
    <t>180109</t>
  </si>
  <si>
    <t>Програма стабілізації та соціально-економічного розвитку територій</t>
  </si>
  <si>
    <t>в тому числі:</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</si>
  <si>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</si>
  <si>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</si>
  <si>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</si>
  <si>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</si>
  <si>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Субвенція з обласного бюджету на виконання депутатами обласної ради доручень виборців  на 2015 рік</t>
  </si>
  <si>
    <t>1018802</t>
  </si>
  <si>
    <t xml:space="preserve">Інгульській сільській раді на поліпшення матеріально-технічної бази  Інгульського будинку культури </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</si>
  <si>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</si>
  <si>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</si>
  <si>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7618802</t>
  </si>
  <si>
    <t>Мар"ївській сільській раді на придбання матеріалів для поточного ремонту  Мар"ївського будинку культури</t>
  </si>
  <si>
    <t>Разом:</t>
  </si>
  <si>
    <t>0317420</t>
  </si>
  <si>
    <t xml:space="preserve">Субвенція з обласного бюджету на виконання депутатами обласної ради доручень виборців, всього,  </t>
  </si>
  <si>
    <t>Субвенція з обласного бюджету на виконання депутатами обласної ради доручень виборців  на 2015 рік, всього,</t>
  </si>
  <si>
    <t>0316300</t>
  </si>
  <si>
    <t>Будівництво</t>
  </si>
  <si>
    <t>0313110</t>
  </si>
  <si>
    <t>Проведення невідкладних відновлювальних робіт, будівництво та реконструкція лікарень загального профілю</t>
  </si>
  <si>
    <t>0316360</t>
  </si>
  <si>
    <t>150114</t>
  </si>
  <si>
    <t xml:space="preserve">від                 № </t>
  </si>
  <si>
    <t>170703</t>
  </si>
  <si>
    <t>0316650</t>
  </si>
  <si>
    <t>Уртимання та розвиток інфраструктури доріг</t>
  </si>
  <si>
    <t>210000</t>
  </si>
  <si>
    <t>250203</t>
  </si>
  <si>
    <t>0118021</t>
  </si>
  <si>
    <t>Проведення виборів депутатів місцевих рад та сільських, селищних, міських голів</t>
  </si>
  <si>
    <t>250313</t>
  </si>
  <si>
    <t>Субвенція з районного бюджету обласному бюджету за рахунок коштів субвенції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</si>
  <si>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Субвенція з державного бюджету місцевим бюджетам на проведення виборів депутатів місцевих рад та сільських, селищних, міських голів</t>
  </si>
  <si>
    <t>7618803</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</si>
  <si>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</si>
  <si>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</si>
  <si>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</si>
  <si>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7618510</t>
  </si>
  <si>
    <t>2418802</t>
  </si>
  <si>
    <t>2418220</t>
  </si>
  <si>
    <t>1018220</t>
  </si>
  <si>
    <t xml:space="preserve">Стабілізаційна дотація </t>
  </si>
  <si>
    <t>Начальник фінансового управління райдержадміністрації</t>
  </si>
  <si>
    <t>С.В.Євдощенко</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</si>
</sst>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color indexed="8"/>
      <name val="Times New Roman"/>
      <family val="1"/>
    </font>
    <font>
      <sz val="16"/>
      <name val="Times New Roman CYR"/>
      <family val="0"/>
    </font>
    <font>
      <sz val="16"/>
      <name val="Calibri"/>
      <family val="2"/>
    </font>
    <font>
      <b/>
      <sz val="15"/>
      <color indexed="62"/>
      <name val="Calibri"/>
      <family val="2"/>
    </font>
    <font>
      <b/>
      <sz val="11"/>
      <color indexed="62"/>
      <name val="Calibri"/>
      <family val="2"/>
    </font>
    <font>
      <b/>
      <sz val="18"/>
      <color indexed="62"/>
      <name val="Cambria"/>
      <family val="2"/>
    </font>
    <font>
      <sz val="18"/>
      <name val="Times New Roman"/>
      <family val="1"/>
    </font>
    <font>
      <b/>
      <sz val="18"/>
      <name val="Times New Roman"/>
      <family val="1"/>
    </font>
    <font>
      <b/>
      <sz val="18"/>
      <color indexed="10"/>
      <name val="Times New Roman"/>
      <family val="1"/>
    </font>
    <font>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1" fillId="3" borderId="1" applyNumberFormat="0" applyAlignment="0" applyProtection="0"/>
    <xf numFmtId="0" fontId="32" fillId="2" borderId="2" applyNumberFormat="0" applyAlignment="0" applyProtection="0"/>
    <xf numFmtId="0" fontId="33"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34"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5" fillId="0" borderId="6" applyNumberFormat="0" applyFill="0" applyAlignment="0" applyProtection="0"/>
    <xf numFmtId="0" fontId="36" fillId="15" borderId="7" applyNumberFormat="0" applyAlignment="0" applyProtection="0"/>
    <xf numFmtId="0" fontId="24" fillId="0" borderId="0" applyNumberFormat="0" applyFill="0" applyBorder="0" applyAlignment="0" applyProtection="0"/>
    <xf numFmtId="0" fontId="37" fillId="8" borderId="0" applyNumberFormat="0" applyBorder="0" applyAlignment="0" applyProtection="0"/>
    <xf numFmtId="0" fontId="4" fillId="0" borderId="0" applyNumberFormat="0" applyFill="0" applyBorder="0" applyAlignment="0" applyProtection="0"/>
    <xf numFmtId="0" fontId="38" fillId="16" borderId="0" applyNumberFormat="0" applyBorder="0" applyAlignment="0" applyProtection="0"/>
    <xf numFmtId="0" fontId="3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17" borderId="0" applyNumberFormat="0" applyBorder="0" applyAlignment="0" applyProtection="0"/>
  </cellStyleXfs>
  <cellXfs count="149">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0" fontId="6" fillId="0" borderId="0" xfId="0" applyFont="1" applyAlignment="1">
      <alignment horizontal="justify" vertical="top" wrapText="1"/>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49" fontId="17" fillId="0" borderId="0" xfId="0" applyNumberFormat="1" applyFont="1" applyAlignment="1">
      <alignment horizontal="center"/>
    </xf>
    <xf numFmtId="0" fontId="19" fillId="0" borderId="0" xfId="0" applyFont="1" applyAlignment="1">
      <alignment horizontal="justify" vertical="top" wrapText="1"/>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49" fontId="16" fillId="0" borderId="0" xfId="0" applyNumberFormat="1" applyFont="1" applyFill="1" applyAlignment="1">
      <alignment horizontal="center"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justify" vertical="top" wrapText="1"/>
      <protection locked="0"/>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16" fillId="0" borderId="0" xfId="0" applyNumberFormat="1" applyFont="1" applyAlignment="1">
      <alignment horizontal="justify" vertical="top" wrapText="1"/>
    </xf>
    <xf numFmtId="0" fontId="5" fillId="0" borderId="0" xfId="0" applyFont="1" applyAlignment="1" applyProtection="1">
      <alignment horizontal="left" vertical="top" wrapText="1"/>
      <protection locked="0"/>
    </xf>
    <xf numFmtId="174" fontId="16" fillId="0" borderId="0" xfId="0" applyNumberFormat="1" applyFont="1" applyAlignment="1">
      <alignment horizontal="right"/>
    </xf>
    <xf numFmtId="0" fontId="16" fillId="0" borderId="0" xfId="0" applyFont="1" applyAlignment="1" applyProtection="1">
      <alignment horizontal="left" vertical="top" wrapText="1"/>
      <protection locked="0"/>
    </xf>
    <xf numFmtId="0" fontId="15" fillId="0" borderId="0" xfId="0" applyNumberFormat="1" applyFont="1" applyAlignment="1">
      <alignment horizontal="left" vertical="top" wrapText="1"/>
    </xf>
    <xf numFmtId="0" fontId="2" fillId="0" borderId="0" xfId="0" applyFont="1" applyAlignment="1">
      <alignment vertical="top"/>
    </xf>
    <xf numFmtId="174" fontId="5" fillId="0" borderId="0" xfId="0" applyNumberFormat="1" applyFont="1" applyAlignment="1">
      <alignment horizontal="right" wrapText="1"/>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17" fillId="0" borderId="0" xfId="0" applyFont="1" applyBorder="1" applyAlignment="1">
      <alignment horizontal="justify" vertical="top" wrapText="1"/>
    </xf>
    <xf numFmtId="174" fontId="16" fillId="0" borderId="0" xfId="0" applyNumberFormat="1" applyFont="1" applyFill="1" applyAlignment="1">
      <alignment horizontal="right" vertical="top" wrapText="1"/>
    </xf>
    <xf numFmtId="0" fontId="16" fillId="0" borderId="0" xfId="0" applyFont="1" applyAlignment="1">
      <alignment vertical="top" wrapText="1"/>
    </xf>
    <xf numFmtId="174" fontId="16" fillId="0" borderId="0" xfId="0" applyNumberFormat="1" applyFont="1" applyAlignment="1">
      <alignment horizontal="right" vertical="top"/>
    </xf>
    <xf numFmtId="174" fontId="16" fillId="0" borderId="0" xfId="0" applyNumberFormat="1" applyFont="1" applyAlignment="1">
      <alignment horizontal="right" vertical="center" wrapText="1"/>
    </xf>
    <xf numFmtId="174" fontId="16" fillId="0" borderId="0" xfId="0" applyNumberFormat="1" applyFont="1" applyAlignment="1">
      <alignment horizontal="right" vertical="justify"/>
    </xf>
    <xf numFmtId="0" fontId="5" fillId="0" borderId="0" xfId="0" applyFont="1" applyAlignment="1">
      <alignment vertical="top" wrapText="1"/>
    </xf>
    <xf numFmtId="0" fontId="16" fillId="0" borderId="0" xfId="0" applyNumberFormat="1"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right" vertical="top" wrapText="1"/>
    </xf>
    <xf numFmtId="182" fontId="16" fillId="0" borderId="0" xfId="0" applyNumberFormat="1" applyFont="1" applyAlignment="1">
      <alignment/>
    </xf>
    <xf numFmtId="182" fontId="5" fillId="0" borderId="0" xfId="0" applyNumberFormat="1" applyFont="1" applyAlignment="1">
      <alignment vertical="justify"/>
    </xf>
    <xf numFmtId="182" fontId="5" fillId="0" borderId="0" xfId="0" applyNumberFormat="1" applyFont="1" applyAlignment="1">
      <alignment/>
    </xf>
    <xf numFmtId="0" fontId="25" fillId="0" borderId="0" xfId="0" applyFont="1" applyAlignment="1">
      <alignment horizontal="left" vertical="center" wrapText="1"/>
    </xf>
    <xf numFmtId="174" fontId="25" fillId="0" borderId="0" xfId="0" applyNumberFormat="1" applyFont="1" applyAlignment="1">
      <alignment horizontal="right"/>
    </xf>
    <xf numFmtId="0" fontId="25" fillId="0" borderId="0" xfId="0" applyFont="1" applyAlignment="1">
      <alignment/>
    </xf>
    <xf numFmtId="174" fontId="26" fillId="0" borderId="0" xfId="0" applyNumberFormat="1" applyFont="1" applyAlignment="1">
      <alignment horizontal="right" vertical="top" wrapText="1"/>
    </xf>
    <xf numFmtId="174" fontId="27" fillId="0" borderId="0" xfId="0" applyNumberFormat="1" applyFont="1" applyAlignment="1">
      <alignment horizontal="right" vertical="top" wrapText="1"/>
    </xf>
    <xf numFmtId="174" fontId="25" fillId="0" borderId="0" xfId="0" applyNumberFormat="1" applyFont="1" applyAlignment="1">
      <alignment horizontal="right" vertical="top" wrapText="1"/>
    </xf>
    <xf numFmtId="174" fontId="28" fillId="0" borderId="0" xfId="0" applyNumberFormat="1" applyFont="1" applyAlignment="1">
      <alignment vertical="justify"/>
    </xf>
    <xf numFmtId="174" fontId="28" fillId="0" borderId="0" xfId="0" applyNumberFormat="1" applyFont="1" applyAlignment="1">
      <alignment/>
    </xf>
    <xf numFmtId="0" fontId="28" fillId="0" borderId="0" xfId="0" applyFont="1" applyAlignment="1">
      <alignment/>
    </xf>
    <xf numFmtId="174" fontId="28" fillId="0" borderId="0" xfId="0" applyNumberFormat="1" applyFont="1" applyAlignment="1">
      <alignment/>
    </xf>
    <xf numFmtId="2" fontId="28" fillId="0" borderId="0" xfId="0" applyNumberFormat="1" applyFont="1" applyAlignment="1">
      <alignment/>
    </xf>
    <xf numFmtId="174" fontId="26" fillId="0" borderId="0" xfId="0" applyNumberFormat="1" applyFont="1" applyAlignment="1">
      <alignment horizontal="right"/>
    </xf>
    <xf numFmtId="174" fontId="26" fillId="0" borderId="0" xfId="0" applyNumberFormat="1" applyFont="1" applyAlignment="1">
      <alignment vertical="justify"/>
    </xf>
    <xf numFmtId="174" fontId="25" fillId="0" borderId="0" xfId="0" applyNumberFormat="1" applyFont="1" applyAlignment="1">
      <alignment vertical="justify"/>
    </xf>
    <xf numFmtId="174" fontId="25" fillId="0" borderId="0" xfId="0" applyNumberFormat="1" applyFont="1" applyAlignment="1">
      <alignment/>
    </xf>
    <xf numFmtId="182" fontId="26" fillId="0" borderId="0" xfId="0" applyNumberFormat="1" applyFont="1" applyAlignment="1">
      <alignment vertical="justify"/>
    </xf>
    <xf numFmtId="0" fontId="16" fillId="0" borderId="0" xfId="0" applyFont="1" applyAlignment="1">
      <alignment horizontal="right" vertical="center" wrapText="1"/>
    </xf>
    <xf numFmtId="2" fontId="16" fillId="0" borderId="0" xfId="0" applyNumberFormat="1" applyFont="1" applyAlignment="1">
      <alignment/>
    </xf>
    <xf numFmtId="182" fontId="26" fillId="0" borderId="0" xfId="0" applyNumberFormat="1" applyFont="1" applyAlignment="1">
      <alignment horizontal="right"/>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6"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0" fontId="13" fillId="0" borderId="0" xfId="0" applyFont="1" applyFill="1" applyAlignment="1">
      <alignment vertical="center" wrapText="1"/>
    </xf>
    <xf numFmtId="0" fontId="14" fillId="0" borderId="0" xfId="0" applyFont="1" applyAlignment="1">
      <alignment vertical="center" wrapText="1"/>
    </xf>
    <xf numFmtId="49" fontId="9" fillId="0" borderId="25"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49" fontId="11" fillId="0" borderId="18" xfId="0" applyNumberFormat="1"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49" fontId="10" fillId="0" borderId="31" xfId="0" applyNumberFormat="1" applyFont="1" applyBorder="1" applyAlignment="1" applyProtection="1">
      <alignment horizontal="center" vertical="center" wrapText="1"/>
      <protection locked="0"/>
    </xf>
    <xf numFmtId="49" fontId="10" fillId="0" borderId="32"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962"/>
  <sheetViews>
    <sheetView tabSelected="1" view="pageBreakPreview" zoomScale="60" zoomScaleNormal="60" zoomScalePageLayoutView="50" workbookViewId="0" topLeftCell="A10">
      <pane xSplit="3" ySplit="4" topLeftCell="D155" activePane="bottomRight" state="frozen"/>
      <selection pane="topLeft" activeCell="A10" sqref="A10"/>
      <selection pane="topRight" activeCell="D10" sqref="D10"/>
      <selection pane="bottomLeft" activeCell="A14" sqref="A14"/>
      <selection pane="bottomRight" activeCell="E132" sqref="E132"/>
    </sheetView>
  </sheetViews>
  <sheetFormatPr defaultColWidth="9.00390625" defaultRowHeight="12.75"/>
  <cols>
    <col min="1" max="1" width="13.125" style="1" customWidth="1"/>
    <col min="2" max="2" width="13.625" style="1" customWidth="1"/>
    <col min="3" max="3" width="61.00390625" style="1" customWidth="1"/>
    <col min="4" max="4" width="34.25390625" style="1" customWidth="1"/>
    <col min="5" max="5" width="34.625" style="1" customWidth="1"/>
    <col min="6" max="6" width="31.00390625" style="1" customWidth="1"/>
    <col min="7" max="7" width="28.00390625" style="1" customWidth="1"/>
    <col min="8" max="8" width="20.25390625" style="1" customWidth="1"/>
    <col min="9" max="9" width="23.375" style="1" customWidth="1"/>
    <col min="10" max="10" width="25.625" style="1" customWidth="1"/>
    <col min="11" max="11" width="25.125" style="1" customWidth="1"/>
    <col min="12" max="12" width="17.875" style="1" customWidth="1"/>
    <col min="13" max="13" width="22.625" style="1" customWidth="1"/>
    <col min="14" max="14" width="26.875" style="1" customWidth="1"/>
    <col min="15" max="15" width="23.125" style="1" customWidth="1"/>
    <col min="16" max="16" width="33.375" style="1" customWidth="1"/>
    <col min="17" max="17" width="9.375" style="1" bestFit="1" customWidth="1"/>
    <col min="18" max="16384" width="9.125" style="1" customWidth="1"/>
  </cols>
  <sheetData>
    <row r="2" spans="10:14" ht="15.75">
      <c r="J2" s="1" t="s">
        <v>68</v>
      </c>
      <c r="M2" s="3" t="s">
        <v>285</v>
      </c>
      <c r="N2" s="3"/>
    </row>
    <row r="3" spans="10:14" ht="15.75">
      <c r="J3" s="1" t="s">
        <v>68</v>
      </c>
      <c r="M3" s="3" t="s">
        <v>65</v>
      </c>
      <c r="N3" s="3"/>
    </row>
    <row r="4" spans="10:14" ht="15.75">
      <c r="J4" s="1" t="s">
        <v>68</v>
      </c>
      <c r="M4" s="3" t="s">
        <v>314</v>
      </c>
      <c r="N4" s="3"/>
    </row>
    <row r="5" spans="13:14" ht="15.75">
      <c r="M5" s="3"/>
      <c r="N5" s="3"/>
    </row>
    <row r="6" spans="2:14" ht="25.5">
      <c r="B6" s="126" t="s">
        <v>284</v>
      </c>
      <c r="C6" s="127"/>
      <c r="D6" s="127"/>
      <c r="E6" s="127"/>
      <c r="F6" s="127"/>
      <c r="G6" s="127"/>
      <c r="H6" s="127"/>
      <c r="I6" s="127"/>
      <c r="J6" s="127"/>
      <c r="K6" s="127"/>
      <c r="L6" s="127"/>
      <c r="M6" s="127"/>
      <c r="N6" s="25"/>
    </row>
    <row r="7" spans="2:14" ht="25.5">
      <c r="B7" s="26"/>
      <c r="C7" s="26"/>
      <c r="D7" s="26"/>
      <c r="E7" s="26"/>
      <c r="F7" s="26" t="s">
        <v>193</v>
      </c>
      <c r="G7" s="26"/>
      <c r="H7" s="26"/>
      <c r="I7" s="26"/>
      <c r="J7" s="26"/>
      <c r="K7" s="26"/>
      <c r="L7" s="26"/>
      <c r="M7" s="26"/>
      <c r="N7" s="14"/>
    </row>
    <row r="8" ht="14.25" customHeight="1" thickBot="1">
      <c r="N8" s="1" t="s">
        <v>7</v>
      </c>
    </row>
    <row r="9" spans="1:16" ht="63.75" customHeight="1" thickBot="1">
      <c r="A9" s="113" t="s">
        <v>235</v>
      </c>
      <c r="B9" s="116" t="s">
        <v>236</v>
      </c>
      <c r="C9" s="113" t="s">
        <v>268</v>
      </c>
      <c r="D9" s="121" t="s">
        <v>266</v>
      </c>
      <c r="E9" s="122"/>
      <c r="F9" s="122"/>
      <c r="G9" s="122"/>
      <c r="H9" s="123"/>
      <c r="I9" s="121" t="s">
        <v>267</v>
      </c>
      <c r="J9" s="122"/>
      <c r="K9" s="122"/>
      <c r="L9" s="122"/>
      <c r="M9" s="122"/>
      <c r="N9" s="122"/>
      <c r="O9" s="122"/>
      <c r="P9" s="134" t="s">
        <v>237</v>
      </c>
    </row>
    <row r="10" spans="1:16" ht="26.25" customHeight="1" thickBot="1">
      <c r="A10" s="114"/>
      <c r="B10" s="117"/>
      <c r="C10" s="114"/>
      <c r="D10" s="128" t="s">
        <v>3</v>
      </c>
      <c r="E10" s="138" t="s">
        <v>238</v>
      </c>
      <c r="F10" s="124" t="s">
        <v>4</v>
      </c>
      <c r="G10" s="141"/>
      <c r="H10" s="131" t="s">
        <v>239</v>
      </c>
      <c r="I10" s="142" t="s">
        <v>3</v>
      </c>
      <c r="J10" s="138" t="s">
        <v>238</v>
      </c>
      <c r="K10" s="124" t="s">
        <v>4</v>
      </c>
      <c r="L10" s="125"/>
      <c r="M10" s="142" t="s">
        <v>239</v>
      </c>
      <c r="N10" s="145" t="s">
        <v>4</v>
      </c>
      <c r="O10" s="146"/>
      <c r="P10" s="135"/>
    </row>
    <row r="11" spans="1:16" ht="18" customHeight="1" thickBot="1">
      <c r="A11" s="114"/>
      <c r="B11" s="117"/>
      <c r="C11" s="114"/>
      <c r="D11" s="129"/>
      <c r="E11" s="139"/>
      <c r="F11" s="119" t="s">
        <v>5</v>
      </c>
      <c r="G11" s="119" t="s">
        <v>6</v>
      </c>
      <c r="H11" s="132"/>
      <c r="I11" s="143"/>
      <c r="J11" s="139"/>
      <c r="K11" s="119" t="s">
        <v>5</v>
      </c>
      <c r="L11" s="147" t="s">
        <v>6</v>
      </c>
      <c r="M11" s="143"/>
      <c r="N11" s="119" t="s">
        <v>240</v>
      </c>
      <c r="O11" s="17" t="s">
        <v>241</v>
      </c>
      <c r="P11" s="136"/>
    </row>
    <row r="12" spans="1:16" ht="124.5" customHeight="1" thickBot="1">
      <c r="A12" s="115"/>
      <c r="B12" s="118"/>
      <c r="C12" s="115"/>
      <c r="D12" s="130"/>
      <c r="E12" s="140"/>
      <c r="F12" s="120"/>
      <c r="G12" s="120"/>
      <c r="H12" s="133"/>
      <c r="I12" s="144"/>
      <c r="J12" s="140"/>
      <c r="K12" s="120"/>
      <c r="L12" s="148"/>
      <c r="M12" s="144"/>
      <c r="N12" s="120"/>
      <c r="O12" s="18" t="s">
        <v>242</v>
      </c>
      <c r="P12" s="137"/>
    </row>
    <row r="13" spans="1:16" ht="13.5" customHeight="1" hidden="1" thickBot="1">
      <c r="A13" s="19">
        <v>1</v>
      </c>
      <c r="B13" s="19">
        <v>2</v>
      </c>
      <c r="C13" s="20">
        <v>3</v>
      </c>
      <c r="D13" s="21">
        <v>4</v>
      </c>
      <c r="E13" s="21">
        <v>5</v>
      </c>
      <c r="F13" s="21">
        <v>6</v>
      </c>
      <c r="G13" s="21">
        <v>7</v>
      </c>
      <c r="H13" s="21">
        <v>8</v>
      </c>
      <c r="I13" s="22">
        <v>9</v>
      </c>
      <c r="J13" s="22">
        <v>10</v>
      </c>
      <c r="K13" s="22">
        <v>11</v>
      </c>
      <c r="L13" s="22">
        <v>12</v>
      </c>
      <c r="M13" s="23">
        <v>13</v>
      </c>
      <c r="N13" s="19">
        <v>14</v>
      </c>
      <c r="O13" s="19">
        <v>15</v>
      </c>
      <c r="P13" s="24" t="s">
        <v>243</v>
      </c>
    </row>
    <row r="14" spans="1:16" ht="23.25" customHeight="1">
      <c r="A14" s="29" t="s">
        <v>90</v>
      </c>
      <c r="B14" s="30"/>
      <c r="C14" s="31" t="s">
        <v>24</v>
      </c>
      <c r="D14" s="32"/>
      <c r="E14" s="32"/>
      <c r="F14" s="32"/>
      <c r="G14" s="32"/>
      <c r="H14" s="32"/>
      <c r="I14" s="33"/>
      <c r="J14" s="33"/>
      <c r="K14" s="33"/>
      <c r="L14" s="33"/>
      <c r="M14" s="33"/>
      <c r="N14" s="34"/>
      <c r="O14" s="33"/>
      <c r="P14" s="32"/>
    </row>
    <row r="15" spans="1:16" ht="23.25" customHeight="1">
      <c r="A15" s="29" t="s">
        <v>91</v>
      </c>
      <c r="B15" s="30"/>
      <c r="C15" s="31" t="s">
        <v>24</v>
      </c>
      <c r="D15" s="32"/>
      <c r="E15" s="32"/>
      <c r="F15" s="32"/>
      <c r="G15" s="32"/>
      <c r="H15" s="32"/>
      <c r="I15" s="33"/>
      <c r="J15" s="33"/>
      <c r="K15" s="33"/>
      <c r="L15" s="33"/>
      <c r="M15" s="33"/>
      <c r="N15" s="34"/>
      <c r="O15" s="33"/>
      <c r="P15" s="32"/>
    </row>
    <row r="16" spans="1:16" ht="120" customHeight="1">
      <c r="A16" s="35" t="s">
        <v>250</v>
      </c>
      <c r="B16" s="36" t="s">
        <v>77</v>
      </c>
      <c r="C16" s="37" t="s">
        <v>92</v>
      </c>
      <c r="D16" s="38">
        <f>E16+H16</f>
        <v>1071.735</v>
      </c>
      <c r="E16" s="38">
        <f>1013.1+5.521+3.423+1.8+40.891+7</f>
        <v>1071.735</v>
      </c>
      <c r="F16" s="38">
        <f>596.6+23.06+9.199</f>
        <v>628.8589999999999</v>
      </c>
      <c r="G16" s="38">
        <f>117.5+11.699-15.458</f>
        <v>113.74100000000001</v>
      </c>
      <c r="H16" s="38"/>
      <c r="I16" s="39">
        <f>J16+M16</f>
        <v>0.595</v>
      </c>
      <c r="J16" s="38">
        <v>0.595</v>
      </c>
      <c r="K16" s="38"/>
      <c r="L16" s="38"/>
      <c r="M16" s="38"/>
      <c r="N16" s="38"/>
      <c r="O16" s="33"/>
      <c r="P16" s="40">
        <f aca="true" t="shared" si="0" ref="P16:P22">I16+D16</f>
        <v>1072.33</v>
      </c>
    </row>
    <row r="17" spans="1:16" ht="66.75" customHeight="1">
      <c r="A17" s="35" t="s">
        <v>320</v>
      </c>
      <c r="B17" s="36" t="s">
        <v>319</v>
      </c>
      <c r="C17" s="37" t="s">
        <v>321</v>
      </c>
      <c r="D17" s="38">
        <f>E17+H17</f>
        <v>783.6408700000001</v>
      </c>
      <c r="E17" s="38">
        <f>798.48-14.83913</f>
        <v>783.6408700000001</v>
      </c>
      <c r="F17" s="38">
        <v>385.417</v>
      </c>
      <c r="G17" s="38">
        <v>32.4</v>
      </c>
      <c r="H17" s="38"/>
      <c r="I17" s="39"/>
      <c r="J17" s="38"/>
      <c r="K17" s="38"/>
      <c r="L17" s="38"/>
      <c r="M17" s="38"/>
      <c r="N17" s="38"/>
      <c r="O17" s="33"/>
      <c r="P17" s="40">
        <f t="shared" si="0"/>
        <v>783.6408700000001</v>
      </c>
    </row>
    <row r="18" spans="1:16" ht="18" customHeight="1">
      <c r="A18" s="29"/>
      <c r="B18" s="30"/>
      <c r="C18" s="31" t="s">
        <v>3</v>
      </c>
      <c r="D18" s="41">
        <f>D16+D17</f>
        <v>1855.3758699999998</v>
      </c>
      <c r="E18" s="41">
        <f>E16+E17</f>
        <v>1855.3758699999998</v>
      </c>
      <c r="F18" s="41">
        <f aca="true" t="shared" si="1" ref="F18:P18">F16+F17</f>
        <v>1014.2759999999998</v>
      </c>
      <c r="G18" s="41">
        <f t="shared" si="1"/>
        <v>146.14100000000002</v>
      </c>
      <c r="H18" s="41">
        <f t="shared" si="1"/>
        <v>0</v>
      </c>
      <c r="I18" s="41">
        <f t="shared" si="1"/>
        <v>0.595</v>
      </c>
      <c r="J18" s="41">
        <f t="shared" si="1"/>
        <v>0.595</v>
      </c>
      <c r="K18" s="41">
        <f t="shared" si="1"/>
        <v>0</v>
      </c>
      <c r="L18" s="41">
        <f t="shared" si="1"/>
        <v>0</v>
      </c>
      <c r="M18" s="41">
        <f t="shared" si="1"/>
        <v>0</v>
      </c>
      <c r="N18" s="41">
        <f t="shared" si="1"/>
        <v>0</v>
      </c>
      <c r="O18" s="41">
        <f t="shared" si="1"/>
        <v>0</v>
      </c>
      <c r="P18" s="41">
        <f t="shared" si="1"/>
        <v>1855.97087</v>
      </c>
    </row>
    <row r="19" spans="1:16" s="8" customFormat="1" ht="20.25">
      <c r="A19" s="29" t="s">
        <v>93</v>
      </c>
      <c r="B19" s="30"/>
      <c r="C19" s="43" t="s">
        <v>25</v>
      </c>
      <c r="D19" s="38"/>
      <c r="E19" s="38"/>
      <c r="F19" s="38"/>
      <c r="G19" s="38"/>
      <c r="H19" s="38"/>
      <c r="I19" s="38"/>
      <c r="J19" s="38"/>
      <c r="K19" s="38"/>
      <c r="L19" s="38"/>
      <c r="M19" s="38"/>
      <c r="N19" s="38"/>
      <c r="O19" s="32"/>
      <c r="P19" s="32"/>
    </row>
    <row r="20" spans="1:16" s="8" customFormat="1" ht="20.25">
      <c r="A20" s="29" t="s">
        <v>94</v>
      </c>
      <c r="B20" s="30"/>
      <c r="C20" s="43" t="s">
        <v>25</v>
      </c>
      <c r="D20" s="38"/>
      <c r="E20" s="38"/>
      <c r="F20" s="38"/>
      <c r="G20" s="38"/>
      <c r="H20" s="38"/>
      <c r="I20" s="38"/>
      <c r="J20" s="38"/>
      <c r="K20" s="38"/>
      <c r="L20" s="38"/>
      <c r="M20" s="38"/>
      <c r="N20" s="38"/>
      <c r="O20" s="32"/>
      <c r="P20" s="32"/>
    </row>
    <row r="21" spans="1:16" s="8" customFormat="1" ht="20.25">
      <c r="A21" s="29" t="s">
        <v>252</v>
      </c>
      <c r="B21" s="36" t="s">
        <v>33</v>
      </c>
      <c r="C21" s="44" t="s">
        <v>198</v>
      </c>
      <c r="D21" s="38">
        <f>D22</f>
        <v>49.64</v>
      </c>
      <c r="E21" s="38">
        <f>E22</f>
        <v>49.64</v>
      </c>
      <c r="F21" s="38"/>
      <c r="G21" s="38"/>
      <c r="H21" s="38"/>
      <c r="I21" s="38"/>
      <c r="J21" s="38"/>
      <c r="K21" s="38"/>
      <c r="L21" s="38"/>
      <c r="M21" s="38"/>
      <c r="N21" s="38"/>
      <c r="O21" s="32"/>
      <c r="P21" s="32">
        <f t="shared" si="0"/>
        <v>49.64</v>
      </c>
    </row>
    <row r="22" spans="1:16" s="8" customFormat="1" ht="72" customHeight="1">
      <c r="A22" s="45" t="s">
        <v>253</v>
      </c>
      <c r="B22" s="33"/>
      <c r="C22" s="46" t="s">
        <v>95</v>
      </c>
      <c r="D22" s="38">
        <f>E22+H22</f>
        <v>49.64</v>
      </c>
      <c r="E22" s="38">
        <v>49.64</v>
      </c>
      <c r="F22" s="38"/>
      <c r="G22" s="38"/>
      <c r="H22" s="38"/>
      <c r="I22" s="38"/>
      <c r="J22" s="38"/>
      <c r="K22" s="38"/>
      <c r="L22" s="38"/>
      <c r="M22" s="38"/>
      <c r="N22" s="38"/>
      <c r="O22" s="32"/>
      <c r="P22" s="40">
        <f t="shared" si="0"/>
        <v>49.64</v>
      </c>
    </row>
    <row r="23" spans="1:16" s="8" customFormat="1" ht="20.25">
      <c r="A23" s="29" t="s">
        <v>96</v>
      </c>
      <c r="B23" s="47" t="s">
        <v>26</v>
      </c>
      <c r="C23" s="48" t="s">
        <v>87</v>
      </c>
      <c r="D23" s="41">
        <f>E23+H23</f>
        <v>24637.557000000004</v>
      </c>
      <c r="E23" s="41">
        <f>E24+E25</f>
        <v>24637.557000000004</v>
      </c>
      <c r="F23" s="41">
        <f>F24+F25</f>
        <v>8715.91</v>
      </c>
      <c r="G23" s="41">
        <f>G24+G25</f>
        <v>2195.358</v>
      </c>
      <c r="H23" s="41">
        <f>H24+H25</f>
        <v>0</v>
      </c>
      <c r="I23" s="41">
        <f>J23+M23</f>
        <v>412.7</v>
      </c>
      <c r="J23" s="41">
        <f aca="true" t="shared" si="2" ref="J23:O23">J24+J25</f>
        <v>354.2</v>
      </c>
      <c r="K23" s="41">
        <f t="shared" si="2"/>
        <v>130</v>
      </c>
      <c r="L23" s="41">
        <f t="shared" si="2"/>
        <v>9</v>
      </c>
      <c r="M23" s="41">
        <f>M24+M25</f>
        <v>58.5</v>
      </c>
      <c r="N23" s="41">
        <f t="shared" si="2"/>
        <v>58.5</v>
      </c>
      <c r="O23" s="41">
        <f t="shared" si="2"/>
        <v>58.5</v>
      </c>
      <c r="P23" s="42">
        <f>SUM(P14:P22)</f>
        <v>3811.22174</v>
      </c>
    </row>
    <row r="24" spans="1:16" s="8" customFormat="1" ht="28.5" customHeight="1">
      <c r="A24" s="35" t="s">
        <v>97</v>
      </c>
      <c r="B24" s="58" t="s">
        <v>27</v>
      </c>
      <c r="C24" s="50" t="s">
        <v>98</v>
      </c>
      <c r="D24" s="38">
        <f>E24+H24</f>
        <v>16930.104000000003</v>
      </c>
      <c r="E24" s="38">
        <f>15361.8+77.662+19.772+1147.22+315.15+8.5</f>
        <v>16930.104000000003</v>
      </c>
      <c r="F24" s="38">
        <f>7692.7+783.21+240</f>
        <v>8715.91</v>
      </c>
      <c r="G24" s="38">
        <f>2119.3+158.142-82.084</f>
        <v>2195.358</v>
      </c>
      <c r="H24" s="38"/>
      <c r="I24" s="38">
        <f>J24+M24</f>
        <v>406</v>
      </c>
      <c r="J24" s="38">
        <v>350</v>
      </c>
      <c r="K24" s="40">
        <v>130</v>
      </c>
      <c r="L24" s="40">
        <v>9</v>
      </c>
      <c r="M24" s="40">
        <f>N24</f>
        <v>56</v>
      </c>
      <c r="N24" s="38">
        <f>30+26</f>
        <v>56</v>
      </c>
      <c r="O24" s="38">
        <f>30+26</f>
        <v>56</v>
      </c>
      <c r="P24" s="32">
        <f aca="true" t="shared" si="3" ref="P24:P67">I24+D24</f>
        <v>17336.104000000003</v>
      </c>
    </row>
    <row r="25" spans="1:16" s="8" customFormat="1" ht="36" customHeight="1">
      <c r="A25" s="35" t="s">
        <v>254</v>
      </c>
      <c r="B25" s="58" t="s">
        <v>83</v>
      </c>
      <c r="C25" s="46" t="s">
        <v>99</v>
      </c>
      <c r="D25" s="38">
        <f>E25+H25</f>
        <v>7707.453</v>
      </c>
      <c r="E25" s="38">
        <f>6942+10.343+12+28.966+579.294+134.85</f>
        <v>7707.453</v>
      </c>
      <c r="F25" s="38"/>
      <c r="G25" s="38">
        <f>H25+K25</f>
        <v>0</v>
      </c>
      <c r="H25" s="40"/>
      <c r="I25" s="40">
        <f>J25+M25</f>
        <v>6.7</v>
      </c>
      <c r="J25" s="40">
        <v>4.2</v>
      </c>
      <c r="K25" s="40"/>
      <c r="L25" s="40"/>
      <c r="M25" s="40">
        <f>N25</f>
        <v>2.5</v>
      </c>
      <c r="N25" s="40">
        <v>2.5</v>
      </c>
      <c r="O25" s="40">
        <v>2.5</v>
      </c>
      <c r="P25" s="40">
        <f t="shared" si="3"/>
        <v>7714.153</v>
      </c>
    </row>
    <row r="26" spans="1:16" s="8" customFormat="1" ht="20.25">
      <c r="A26" s="35" t="s">
        <v>199</v>
      </c>
      <c r="B26" s="52" t="s">
        <v>19</v>
      </c>
      <c r="C26" s="46" t="s">
        <v>200</v>
      </c>
      <c r="D26" s="67">
        <f>D27</f>
        <v>180.72021999999998</v>
      </c>
      <c r="E26" s="67">
        <f>E27</f>
        <v>180.72021999999998</v>
      </c>
      <c r="F26" s="38"/>
      <c r="G26" s="38"/>
      <c r="H26" s="38"/>
      <c r="I26" s="40"/>
      <c r="J26" s="38"/>
      <c r="K26" s="38"/>
      <c r="L26" s="38"/>
      <c r="M26" s="38"/>
      <c r="N26" s="38"/>
      <c r="O26" s="32"/>
      <c r="P26" s="91">
        <f t="shared" si="3"/>
        <v>180.72021999999998</v>
      </c>
    </row>
    <row r="27" spans="1:16" s="8" customFormat="1" ht="43.5" customHeight="1">
      <c r="A27" s="35" t="s">
        <v>101</v>
      </c>
      <c r="B27" s="33"/>
      <c r="C27" s="53" t="s">
        <v>66</v>
      </c>
      <c r="D27" s="67">
        <f>E27</f>
        <v>180.72021999999998</v>
      </c>
      <c r="E27" s="67">
        <f>171.7+1.80622+7.214</f>
        <v>180.72021999999998</v>
      </c>
      <c r="F27" s="38"/>
      <c r="G27" s="38"/>
      <c r="H27" s="38"/>
      <c r="I27" s="40"/>
      <c r="J27" s="38"/>
      <c r="K27" s="38"/>
      <c r="L27" s="38"/>
      <c r="M27" s="38"/>
      <c r="N27" s="38"/>
      <c r="O27" s="32"/>
      <c r="P27" s="67">
        <f t="shared" si="3"/>
        <v>180.72021999999998</v>
      </c>
    </row>
    <row r="28" spans="1:16" s="8" customFormat="1" ht="66.75" customHeight="1">
      <c r="A28" s="35" t="s">
        <v>310</v>
      </c>
      <c r="B28" s="33"/>
      <c r="C28" s="54" t="s">
        <v>279</v>
      </c>
      <c r="D28" s="38">
        <f>D29</f>
        <v>6.7</v>
      </c>
      <c r="E28" s="38">
        <f>E29</f>
        <v>6.7</v>
      </c>
      <c r="F28" s="38"/>
      <c r="G28" s="38"/>
      <c r="H28" s="38"/>
      <c r="I28" s="40"/>
      <c r="J28" s="38"/>
      <c r="K28" s="38"/>
      <c r="L28" s="38"/>
      <c r="M28" s="38"/>
      <c r="N28" s="38"/>
      <c r="O28" s="32"/>
      <c r="P28" s="38">
        <f t="shared" si="3"/>
        <v>6.7</v>
      </c>
    </row>
    <row r="29" spans="1:19" s="8" customFormat="1" ht="72" customHeight="1">
      <c r="A29" s="35" t="s">
        <v>278</v>
      </c>
      <c r="B29" s="55" t="s">
        <v>273</v>
      </c>
      <c r="C29" s="46" t="s">
        <v>277</v>
      </c>
      <c r="D29" s="38">
        <f>E29</f>
        <v>6.7</v>
      </c>
      <c r="E29" s="27">
        <f>5.2+1.5</f>
        <v>6.7</v>
      </c>
      <c r="F29" s="27"/>
      <c r="G29" s="27"/>
      <c r="H29" s="27"/>
      <c r="I29" s="40"/>
      <c r="J29" s="37"/>
      <c r="K29" s="37"/>
      <c r="L29" s="37"/>
      <c r="M29" s="37"/>
      <c r="N29" s="37"/>
      <c r="O29" s="37"/>
      <c r="P29" s="38">
        <f t="shared" si="3"/>
        <v>6.7</v>
      </c>
      <c r="Q29" s="11"/>
      <c r="R29" s="11"/>
      <c r="S29" s="27"/>
    </row>
    <row r="30" spans="1:19" s="8" customFormat="1" ht="43.5" customHeight="1">
      <c r="A30" s="35" t="s">
        <v>308</v>
      </c>
      <c r="B30" s="55"/>
      <c r="C30" s="46" t="s">
        <v>309</v>
      </c>
      <c r="D30" s="38"/>
      <c r="E30" s="27"/>
      <c r="F30" s="27"/>
      <c r="G30" s="27"/>
      <c r="H30" s="27"/>
      <c r="I30" s="84">
        <f>I31</f>
        <v>150</v>
      </c>
      <c r="J30" s="84"/>
      <c r="K30" s="84"/>
      <c r="L30" s="84"/>
      <c r="M30" s="84">
        <f>M31</f>
        <v>150</v>
      </c>
      <c r="N30" s="84">
        <f>N31</f>
        <v>150</v>
      </c>
      <c r="O30" s="84">
        <f>O31</f>
        <v>150</v>
      </c>
      <c r="P30" s="38">
        <f t="shared" si="3"/>
        <v>150</v>
      </c>
      <c r="Q30" s="11"/>
      <c r="R30" s="11"/>
      <c r="S30" s="27"/>
    </row>
    <row r="31" spans="1:19" s="8" customFormat="1" ht="79.5" customHeight="1">
      <c r="A31" s="35" t="s">
        <v>312</v>
      </c>
      <c r="B31" s="55" t="s">
        <v>313</v>
      </c>
      <c r="C31" s="54" t="s">
        <v>311</v>
      </c>
      <c r="D31" s="38"/>
      <c r="E31" s="38"/>
      <c r="F31" s="27"/>
      <c r="G31" s="27"/>
      <c r="H31" s="27"/>
      <c r="I31" s="84">
        <f>J31+M31</f>
        <v>150</v>
      </c>
      <c r="J31" s="90"/>
      <c r="K31" s="90"/>
      <c r="L31" s="90"/>
      <c r="M31" s="27">
        <f>N31</f>
        <v>150</v>
      </c>
      <c r="N31" s="27">
        <f>50+100</f>
        <v>150</v>
      </c>
      <c r="O31" s="27">
        <f>50+100</f>
        <v>150</v>
      </c>
      <c r="P31" s="38">
        <f t="shared" si="3"/>
        <v>150</v>
      </c>
      <c r="Q31" s="11"/>
      <c r="R31" s="11"/>
      <c r="S31" s="27"/>
    </row>
    <row r="32" spans="1:19" s="8" customFormat="1" ht="51" customHeight="1">
      <c r="A32" s="35" t="s">
        <v>316</v>
      </c>
      <c r="B32" s="55" t="s">
        <v>315</v>
      </c>
      <c r="C32" s="54" t="s">
        <v>317</v>
      </c>
      <c r="D32" s="38"/>
      <c r="E32" s="38"/>
      <c r="F32" s="27"/>
      <c r="G32" s="27"/>
      <c r="H32" s="27"/>
      <c r="I32" s="84">
        <f>J32+M32</f>
        <v>27</v>
      </c>
      <c r="J32" s="90"/>
      <c r="K32" s="90"/>
      <c r="L32" s="90"/>
      <c r="M32" s="27">
        <v>27</v>
      </c>
      <c r="N32" s="27">
        <v>27</v>
      </c>
      <c r="O32" s="27"/>
      <c r="P32" s="38">
        <f t="shared" si="3"/>
        <v>27</v>
      </c>
      <c r="Q32" s="11"/>
      <c r="R32" s="11"/>
      <c r="S32" s="27"/>
    </row>
    <row r="33" spans="1:20" s="8" customFormat="1" ht="44.25" customHeight="1">
      <c r="A33" s="35" t="s">
        <v>305</v>
      </c>
      <c r="B33" s="55" t="s">
        <v>290</v>
      </c>
      <c r="C33" s="46" t="s">
        <v>291</v>
      </c>
      <c r="D33" s="38">
        <f>E33</f>
        <v>10</v>
      </c>
      <c r="E33" s="27">
        <v>10</v>
      </c>
      <c r="F33" s="78"/>
      <c r="G33" s="78"/>
      <c r="H33" s="78"/>
      <c r="I33" s="43"/>
      <c r="J33" s="43"/>
      <c r="K33" s="43"/>
      <c r="L33" s="43"/>
      <c r="M33" s="43"/>
      <c r="N33" s="43"/>
      <c r="O33" s="43"/>
      <c r="P33" s="43"/>
      <c r="Q33" s="43"/>
      <c r="R33" s="43"/>
      <c r="S33" s="27"/>
      <c r="T33" s="27"/>
    </row>
    <row r="34" spans="1:20" s="8" customFormat="1" ht="43.5" customHeight="1">
      <c r="A34" s="35" t="s">
        <v>280</v>
      </c>
      <c r="B34" s="55" t="s">
        <v>318</v>
      </c>
      <c r="C34" s="46" t="s">
        <v>281</v>
      </c>
      <c r="D34" s="38">
        <f>D35</f>
        <v>139.422</v>
      </c>
      <c r="E34" s="38">
        <f>E35</f>
        <v>139.422</v>
      </c>
      <c r="F34" s="78"/>
      <c r="G34" s="78"/>
      <c r="H34" s="78"/>
      <c r="I34" s="43"/>
      <c r="J34" s="43"/>
      <c r="K34" s="43"/>
      <c r="L34" s="43"/>
      <c r="M34" s="43"/>
      <c r="N34" s="43"/>
      <c r="O34" s="43"/>
      <c r="P34" s="43"/>
      <c r="Q34" s="43"/>
      <c r="R34" s="43"/>
      <c r="S34" s="27"/>
      <c r="T34" s="27"/>
    </row>
    <row r="35" spans="1:19" s="8" customFormat="1" ht="68.25" customHeight="1">
      <c r="A35" s="35" t="s">
        <v>276</v>
      </c>
      <c r="B35" s="55" t="s">
        <v>274</v>
      </c>
      <c r="C35" s="63" t="s">
        <v>275</v>
      </c>
      <c r="D35" s="38">
        <f>E35</f>
        <v>139.422</v>
      </c>
      <c r="E35" s="27">
        <f>7.763+16+84+31.659</f>
        <v>139.422</v>
      </c>
      <c r="F35" s="27"/>
      <c r="G35" s="27"/>
      <c r="H35" s="27"/>
      <c r="I35" s="37"/>
      <c r="J35" s="37"/>
      <c r="K35" s="37"/>
      <c r="L35" s="37"/>
      <c r="M35" s="37"/>
      <c r="N35" s="37"/>
      <c r="O35" s="37"/>
      <c r="P35" s="38">
        <f t="shared" si="3"/>
        <v>139.422</v>
      </c>
      <c r="Q35" s="11"/>
      <c r="R35" s="11"/>
      <c r="S35" s="27"/>
    </row>
    <row r="36" spans="1:19" s="8" customFormat="1" ht="49.5" customHeight="1">
      <c r="A36" s="35" t="s">
        <v>320</v>
      </c>
      <c r="B36" s="36" t="s">
        <v>319</v>
      </c>
      <c r="C36" s="37" t="s">
        <v>321</v>
      </c>
      <c r="D36" s="38">
        <f>E36</f>
        <v>2.1</v>
      </c>
      <c r="E36" s="27">
        <v>2.1</v>
      </c>
      <c r="F36" s="27"/>
      <c r="G36" s="27"/>
      <c r="H36" s="27"/>
      <c r="I36" s="37"/>
      <c r="J36" s="37"/>
      <c r="K36" s="37"/>
      <c r="L36" s="37"/>
      <c r="M36" s="37"/>
      <c r="N36" s="37"/>
      <c r="O36" s="37"/>
      <c r="P36" s="38">
        <f t="shared" si="3"/>
        <v>2.1</v>
      </c>
      <c r="Q36" s="11"/>
      <c r="R36" s="11"/>
      <c r="S36" s="27"/>
    </row>
    <row r="37" spans="1:16" ht="20.25">
      <c r="A37" s="35"/>
      <c r="B37" s="30"/>
      <c r="C37" s="43" t="s">
        <v>9</v>
      </c>
      <c r="D37" s="92">
        <f>D23+D27+D22+D35+D29+D33+D36</f>
        <v>25026.13922</v>
      </c>
      <c r="E37" s="92">
        <f>E23+E27+E22+E35+E29+E33+E36</f>
        <v>25026.13922</v>
      </c>
      <c r="F37" s="92">
        <f aca="true" t="shared" si="4" ref="F37:L37">F23+F27+F22+F35+F29+F33+F36</f>
        <v>8715.91</v>
      </c>
      <c r="G37" s="92">
        <f t="shared" si="4"/>
        <v>2195.358</v>
      </c>
      <c r="H37" s="92">
        <f t="shared" si="4"/>
        <v>0</v>
      </c>
      <c r="I37" s="41">
        <f t="shared" si="4"/>
        <v>412.7</v>
      </c>
      <c r="J37" s="41">
        <f t="shared" si="4"/>
        <v>354.2</v>
      </c>
      <c r="K37" s="41">
        <f t="shared" si="4"/>
        <v>130</v>
      </c>
      <c r="L37" s="41">
        <f t="shared" si="4"/>
        <v>9</v>
      </c>
      <c r="M37" s="41">
        <f>M23+M27+M22+M35+M29+M33+M36+M32+M30</f>
        <v>235.5</v>
      </c>
      <c r="N37" s="41">
        <f>N23+N27+N22+N35+N29+N33+N36+N32+N30</f>
        <v>235.5</v>
      </c>
      <c r="O37" s="41">
        <f>O23+O27+O22+O35+O29+O33+O36+O31</f>
        <v>208.5</v>
      </c>
      <c r="P37" s="93">
        <f>I37+D37</f>
        <v>25438.83922</v>
      </c>
    </row>
    <row r="38" spans="1:16" ht="44.25" customHeight="1">
      <c r="A38" s="35" t="s">
        <v>185</v>
      </c>
      <c r="B38" s="36"/>
      <c r="C38" s="56" t="s">
        <v>289</v>
      </c>
      <c r="D38" s="38"/>
      <c r="E38" s="38"/>
      <c r="F38" s="38"/>
      <c r="G38" s="38"/>
      <c r="H38" s="38"/>
      <c r="I38" s="38"/>
      <c r="J38" s="38"/>
      <c r="K38" s="38"/>
      <c r="L38" s="38"/>
      <c r="M38" s="38"/>
      <c r="N38" s="38"/>
      <c r="O38" s="32"/>
      <c r="P38" s="32"/>
    </row>
    <row r="39" spans="1:16" ht="52.5" customHeight="1">
      <c r="A39" s="35" t="s">
        <v>186</v>
      </c>
      <c r="B39" s="36"/>
      <c r="C39" s="56" t="s">
        <v>88</v>
      </c>
      <c r="D39" s="38"/>
      <c r="E39" s="38"/>
      <c r="F39" s="38"/>
      <c r="G39" s="38"/>
      <c r="H39" s="38"/>
      <c r="I39" s="38"/>
      <c r="J39" s="38"/>
      <c r="K39" s="38"/>
      <c r="L39" s="38"/>
      <c r="M39" s="38"/>
      <c r="N39" s="38"/>
      <c r="O39" s="32"/>
      <c r="P39" s="32"/>
    </row>
    <row r="40" spans="1:16" ht="20.25">
      <c r="A40" s="35" t="s">
        <v>195</v>
      </c>
      <c r="B40" s="57" t="s">
        <v>29</v>
      </c>
      <c r="C40" s="31" t="s">
        <v>10</v>
      </c>
      <c r="D40" s="41">
        <f>D41+D42+D43+D45+D47+D46</f>
        <v>54136.393</v>
      </c>
      <c r="E40" s="41">
        <f>E41+E42+E43+E45+E47+E46</f>
        <v>54136.393</v>
      </c>
      <c r="F40" s="41">
        <f aca="true" t="shared" si="5" ref="F40:O40">F41+F42+F43+F45+F47+F46</f>
        <v>30166.446089999998</v>
      </c>
      <c r="G40" s="41">
        <f t="shared" si="5"/>
        <v>8856.376</v>
      </c>
      <c r="H40" s="41">
        <f t="shared" si="5"/>
        <v>0</v>
      </c>
      <c r="I40" s="41">
        <f t="shared" si="5"/>
        <v>1370.749</v>
      </c>
      <c r="J40" s="41">
        <f t="shared" si="5"/>
        <v>9.8</v>
      </c>
      <c r="K40" s="41">
        <f t="shared" si="5"/>
        <v>0</v>
      </c>
      <c r="L40" s="41">
        <f t="shared" si="5"/>
        <v>0</v>
      </c>
      <c r="M40" s="41">
        <f t="shared" si="5"/>
        <v>1360.949</v>
      </c>
      <c r="N40" s="41">
        <f t="shared" si="5"/>
        <v>1360.949</v>
      </c>
      <c r="O40" s="41">
        <f t="shared" si="5"/>
        <v>1320.949</v>
      </c>
      <c r="P40" s="32">
        <f t="shared" si="3"/>
        <v>55507.142</v>
      </c>
    </row>
    <row r="41" spans="1:16" ht="106.5" customHeight="1">
      <c r="A41" s="35" t="s">
        <v>102</v>
      </c>
      <c r="B41" s="58" t="s">
        <v>30</v>
      </c>
      <c r="C41" s="46" t="s">
        <v>103</v>
      </c>
      <c r="D41" s="38">
        <f>E41+H41</f>
        <v>48620.911</v>
      </c>
      <c r="E41" s="38">
        <f>43592.8+4.8+21.938+35.645+20+10+50+59.195+3927.333+899.2</f>
        <v>48620.911</v>
      </c>
      <c r="F41" s="38">
        <f>25016.5+23.1+1950.815+648.467</f>
        <v>27638.881999999998</v>
      </c>
      <c r="G41" s="38">
        <f>7613.9+780.742</f>
        <v>8394.642</v>
      </c>
      <c r="H41" s="38"/>
      <c r="I41" s="38">
        <f>J41+M41</f>
        <v>1370.749</v>
      </c>
      <c r="J41" s="38">
        <v>9.8</v>
      </c>
      <c r="K41" s="38"/>
      <c r="L41" s="38"/>
      <c r="M41" s="38">
        <f>N41</f>
        <v>1360.949</v>
      </c>
      <c r="N41" s="38">
        <f>100+290.711+241.18+729.058</f>
        <v>1360.949</v>
      </c>
      <c r="O41" s="40">
        <f>100+290.711+241.18+629.328+59.73</f>
        <v>1320.949</v>
      </c>
      <c r="P41" s="40">
        <f t="shared" si="3"/>
        <v>49991.66</v>
      </c>
    </row>
    <row r="42" spans="1:16" ht="76.5" customHeight="1">
      <c r="A42" s="35" t="s">
        <v>255</v>
      </c>
      <c r="B42" s="52" t="s">
        <v>31</v>
      </c>
      <c r="C42" s="53" t="s">
        <v>104</v>
      </c>
      <c r="D42" s="38">
        <f aca="true" t="shared" si="6" ref="D42:D57">E42+H42</f>
        <v>1558.568</v>
      </c>
      <c r="E42" s="38">
        <f>1387.4+0.685+0.504+13.9+178.229-22.15</f>
        <v>1558.568</v>
      </c>
      <c r="F42" s="38">
        <f>809.03+33.9+111.722</f>
        <v>954.6519999999999</v>
      </c>
      <c r="G42" s="38">
        <f>192.5+14.29-13</f>
        <v>193.79</v>
      </c>
      <c r="H42" s="38"/>
      <c r="I42" s="38"/>
      <c r="J42" s="38"/>
      <c r="K42" s="38"/>
      <c r="L42" s="38"/>
      <c r="M42" s="38"/>
      <c r="N42" s="38"/>
      <c r="O42" s="32"/>
      <c r="P42" s="40">
        <f t="shared" si="3"/>
        <v>1558.568</v>
      </c>
    </row>
    <row r="43" spans="1:17" ht="60" customHeight="1">
      <c r="A43" s="35" t="s">
        <v>105</v>
      </c>
      <c r="B43" s="58" t="s">
        <v>32</v>
      </c>
      <c r="C43" s="59" t="s">
        <v>106</v>
      </c>
      <c r="D43" s="67">
        <f t="shared" si="6"/>
        <v>178.42747999999997</v>
      </c>
      <c r="E43" s="67">
        <f>343.238+24.61+5.691-195.11152</f>
        <v>178.42747999999997</v>
      </c>
      <c r="F43" s="67">
        <f>232.185+18.078-131.41291</f>
        <v>118.85009</v>
      </c>
      <c r="G43" s="67">
        <f>28.4-15.83665</f>
        <v>12.563349999999998</v>
      </c>
      <c r="H43" s="38"/>
      <c r="I43" s="38"/>
      <c r="J43" s="38"/>
      <c r="K43" s="38"/>
      <c r="L43" s="38"/>
      <c r="M43" s="38"/>
      <c r="N43" s="38"/>
      <c r="O43" s="32"/>
      <c r="P43" s="79">
        <f t="shared" si="3"/>
        <v>178.42747999999997</v>
      </c>
      <c r="Q43" s="77"/>
    </row>
    <row r="44" spans="1:17" ht="21" customHeight="1">
      <c r="A44" s="35" t="s">
        <v>251</v>
      </c>
      <c r="B44" s="58" t="s">
        <v>33</v>
      </c>
      <c r="C44" s="46" t="s">
        <v>198</v>
      </c>
      <c r="D44" s="38">
        <f>E44+H44</f>
        <v>1288.5140000000001</v>
      </c>
      <c r="E44" s="40">
        <f>E45</f>
        <v>1288.5140000000001</v>
      </c>
      <c r="F44" s="40">
        <f>F45</f>
        <v>0</v>
      </c>
      <c r="G44" s="40">
        <f>G45</f>
        <v>0</v>
      </c>
      <c r="H44" s="40"/>
      <c r="I44" s="40"/>
      <c r="J44" s="40"/>
      <c r="K44" s="40">
        <f>K45</f>
        <v>0</v>
      </c>
      <c r="L44" s="40">
        <f>L45</f>
        <v>0</v>
      </c>
      <c r="M44" s="40">
        <f>M45</f>
        <v>0</v>
      </c>
      <c r="N44" s="38"/>
      <c r="O44" s="40"/>
      <c r="P44" s="40">
        <f t="shared" si="3"/>
        <v>1288.5140000000001</v>
      </c>
      <c r="Q44" s="77"/>
    </row>
    <row r="45" spans="1:17" ht="51.75" customHeight="1">
      <c r="A45" s="35" t="s">
        <v>272</v>
      </c>
      <c r="B45" s="33"/>
      <c r="C45" s="46" t="s">
        <v>184</v>
      </c>
      <c r="D45" s="38">
        <f t="shared" si="6"/>
        <v>1288.5140000000001</v>
      </c>
      <c r="E45" s="40">
        <f>554+2.2-24.61+38.17-13.52+47.5+94.6+425.5+62+37.674+65</f>
        <v>1288.5140000000001</v>
      </c>
      <c r="F45" s="40"/>
      <c r="G45" s="40">
        <f>H45+K45</f>
        <v>0</v>
      </c>
      <c r="H45" s="40"/>
      <c r="I45" s="40"/>
      <c r="J45" s="40"/>
      <c r="K45" s="40"/>
      <c r="L45" s="40"/>
      <c r="M45" s="40"/>
      <c r="N45" s="40"/>
      <c r="O45" s="40"/>
      <c r="P45" s="40">
        <f t="shared" si="3"/>
        <v>1288.5140000000001</v>
      </c>
      <c r="Q45" s="77"/>
    </row>
    <row r="46" spans="1:17" ht="23.25" customHeight="1">
      <c r="A46" s="35" t="s">
        <v>107</v>
      </c>
      <c r="B46" s="58" t="s">
        <v>82</v>
      </c>
      <c r="C46" s="60" t="s">
        <v>108</v>
      </c>
      <c r="D46" s="67">
        <f t="shared" si="6"/>
        <v>2464.63252</v>
      </c>
      <c r="E46" s="40">
        <f>1832.82+12.496+2.079+309.41152+341.676-33.85</f>
        <v>2464.63252</v>
      </c>
      <c r="F46" s="40">
        <f>1073.57+173.713+206.779</f>
        <v>1454.062</v>
      </c>
      <c r="G46" s="79">
        <f>252+15.83665+24.444-36.9</f>
        <v>255.38065000000003</v>
      </c>
      <c r="H46" s="40"/>
      <c r="I46" s="40"/>
      <c r="J46" s="40"/>
      <c r="K46" s="40"/>
      <c r="L46" s="40"/>
      <c r="M46" s="40"/>
      <c r="N46" s="40"/>
      <c r="O46" s="40"/>
      <c r="P46" s="79">
        <f t="shared" si="3"/>
        <v>2464.63252</v>
      </c>
      <c r="Q46" s="77"/>
    </row>
    <row r="47" spans="1:17" ht="65.25" customHeight="1">
      <c r="A47" s="35" t="s">
        <v>271</v>
      </c>
      <c r="B47" s="58" t="s">
        <v>34</v>
      </c>
      <c r="C47" s="46" t="s">
        <v>109</v>
      </c>
      <c r="D47" s="38">
        <f t="shared" si="6"/>
        <v>25.34</v>
      </c>
      <c r="E47" s="38">
        <f>25.34</f>
        <v>25.34</v>
      </c>
      <c r="F47" s="38"/>
      <c r="G47" s="38"/>
      <c r="H47" s="38"/>
      <c r="I47" s="38"/>
      <c r="J47" s="38"/>
      <c r="K47" s="38"/>
      <c r="L47" s="38"/>
      <c r="M47" s="38"/>
      <c r="N47" s="38"/>
      <c r="O47" s="32"/>
      <c r="P47" s="40">
        <f t="shared" si="3"/>
        <v>25.34</v>
      </c>
      <c r="Q47" s="77"/>
    </row>
    <row r="48" spans="1:17" ht="24.75" customHeight="1">
      <c r="A48" s="35" t="s">
        <v>223</v>
      </c>
      <c r="B48" s="61" t="s">
        <v>225</v>
      </c>
      <c r="C48" s="62" t="s">
        <v>224</v>
      </c>
      <c r="D48" s="38">
        <f>E48+H48</f>
        <v>1090.588</v>
      </c>
      <c r="E48" s="41">
        <f>E49+E51+E54+E53</f>
        <v>1090.588</v>
      </c>
      <c r="F48" s="41">
        <f>F49+F51+F52+F53+F54</f>
        <v>594.622</v>
      </c>
      <c r="G48" s="41">
        <f>G49+G51+G52+G53+G54</f>
        <v>124.791</v>
      </c>
      <c r="H48" s="41"/>
      <c r="I48" s="41"/>
      <c r="J48" s="41"/>
      <c r="K48" s="41"/>
      <c r="L48" s="41"/>
      <c r="M48" s="41"/>
      <c r="N48" s="41"/>
      <c r="O48" s="32"/>
      <c r="P48" s="40">
        <f t="shared" si="3"/>
        <v>1090.588</v>
      </c>
      <c r="Q48" s="77"/>
    </row>
    <row r="49" spans="1:17" ht="50.25" customHeight="1">
      <c r="A49" s="35" t="s">
        <v>201</v>
      </c>
      <c r="B49" s="58"/>
      <c r="C49" s="63" t="s">
        <v>202</v>
      </c>
      <c r="D49" s="38">
        <f>E49+H49</f>
        <v>954.384</v>
      </c>
      <c r="E49" s="38">
        <f>E50</f>
        <v>954.384</v>
      </c>
      <c r="F49" s="38">
        <f>F50</f>
        <v>594.622</v>
      </c>
      <c r="G49" s="38">
        <f>G50</f>
        <v>124.791</v>
      </c>
      <c r="H49" s="38"/>
      <c r="I49" s="38"/>
      <c r="J49" s="38"/>
      <c r="K49" s="38"/>
      <c r="L49" s="38"/>
      <c r="M49" s="38"/>
      <c r="N49" s="38"/>
      <c r="O49" s="32"/>
      <c r="P49" s="40">
        <f t="shared" si="3"/>
        <v>954.384</v>
      </c>
      <c r="Q49" s="77"/>
    </row>
    <row r="50" spans="1:17" ht="60.75" customHeight="1">
      <c r="A50" s="35" t="s">
        <v>110</v>
      </c>
      <c r="B50" s="58" t="s">
        <v>15</v>
      </c>
      <c r="C50" s="51" t="s">
        <v>111</v>
      </c>
      <c r="D50" s="38">
        <f t="shared" si="6"/>
        <v>954.384</v>
      </c>
      <c r="E50" s="38">
        <f>766.397+1.938+7.716+34.3+153.033-9</f>
        <v>954.384</v>
      </c>
      <c r="F50" s="38">
        <f>469.146+24.9+100.576</f>
        <v>594.622</v>
      </c>
      <c r="G50" s="38">
        <f>123.7+10.091-9</f>
        <v>124.791</v>
      </c>
      <c r="H50" s="38"/>
      <c r="I50" s="38"/>
      <c r="J50" s="38"/>
      <c r="K50" s="38"/>
      <c r="L50" s="38"/>
      <c r="M50" s="38"/>
      <c r="N50" s="38"/>
      <c r="O50" s="32"/>
      <c r="P50" s="40">
        <f t="shared" si="3"/>
        <v>954.384</v>
      </c>
      <c r="Q50" s="77"/>
    </row>
    <row r="51" spans="1:17" ht="61.5" customHeight="1">
      <c r="A51" s="35" t="s">
        <v>226</v>
      </c>
      <c r="B51" s="58" t="s">
        <v>79</v>
      </c>
      <c r="C51" s="51" t="s">
        <v>227</v>
      </c>
      <c r="D51" s="38">
        <f t="shared" si="6"/>
        <v>10</v>
      </c>
      <c r="E51" s="38">
        <v>10</v>
      </c>
      <c r="F51" s="38"/>
      <c r="G51" s="38"/>
      <c r="H51" s="38"/>
      <c r="I51" s="38"/>
      <c r="J51" s="38"/>
      <c r="K51" s="38"/>
      <c r="L51" s="38"/>
      <c r="M51" s="38"/>
      <c r="N51" s="38"/>
      <c r="O51" s="32"/>
      <c r="P51" s="40">
        <f t="shared" si="3"/>
        <v>10</v>
      </c>
      <c r="Q51" s="77"/>
    </row>
    <row r="52" spans="1:17" ht="61.5" customHeight="1">
      <c r="A52" s="35" t="s">
        <v>229</v>
      </c>
      <c r="B52" s="58"/>
      <c r="C52" s="46" t="s">
        <v>228</v>
      </c>
      <c r="D52" s="38">
        <f>E52+H52</f>
        <v>10</v>
      </c>
      <c r="E52" s="40">
        <f>E53</f>
        <v>10</v>
      </c>
      <c r="F52" s="38"/>
      <c r="G52" s="38"/>
      <c r="H52" s="38"/>
      <c r="I52" s="38"/>
      <c r="J52" s="38"/>
      <c r="K52" s="38"/>
      <c r="L52" s="38"/>
      <c r="M52" s="38"/>
      <c r="N52" s="38"/>
      <c r="O52" s="32"/>
      <c r="P52" s="40">
        <f t="shared" si="3"/>
        <v>10</v>
      </c>
      <c r="Q52" s="77"/>
    </row>
    <row r="53" spans="1:17" ht="88.5" customHeight="1">
      <c r="A53" s="35" t="s">
        <v>231</v>
      </c>
      <c r="B53" s="58" t="s">
        <v>84</v>
      </c>
      <c r="C53" s="46" t="s">
        <v>230</v>
      </c>
      <c r="D53" s="38">
        <f t="shared" si="6"/>
        <v>10</v>
      </c>
      <c r="E53" s="40">
        <v>10</v>
      </c>
      <c r="F53" s="38"/>
      <c r="G53" s="38"/>
      <c r="H53" s="38"/>
      <c r="I53" s="38"/>
      <c r="J53" s="38"/>
      <c r="K53" s="38"/>
      <c r="L53" s="38"/>
      <c r="M53" s="38"/>
      <c r="N53" s="38"/>
      <c r="O53" s="32"/>
      <c r="P53" s="40">
        <f t="shared" si="3"/>
        <v>10</v>
      </c>
      <c r="Q53" s="77"/>
    </row>
    <row r="54" spans="1:17" ht="63" customHeight="1">
      <c r="A54" s="35" t="s">
        <v>233</v>
      </c>
      <c r="B54" s="58" t="s">
        <v>16</v>
      </c>
      <c r="C54" s="46" t="s">
        <v>232</v>
      </c>
      <c r="D54" s="38">
        <f t="shared" si="6"/>
        <v>116.20400000000001</v>
      </c>
      <c r="E54" s="40">
        <f>99.2+8.7+8.304</f>
        <v>116.20400000000001</v>
      </c>
      <c r="F54" s="38"/>
      <c r="G54" s="38"/>
      <c r="H54" s="38"/>
      <c r="I54" s="38"/>
      <c r="J54" s="38"/>
      <c r="K54" s="38"/>
      <c r="L54" s="38"/>
      <c r="M54" s="38"/>
      <c r="N54" s="38"/>
      <c r="O54" s="32"/>
      <c r="P54" s="40">
        <f t="shared" si="3"/>
        <v>116.20400000000001</v>
      </c>
      <c r="Q54" s="77"/>
    </row>
    <row r="55" spans="1:17" ht="39" customHeight="1">
      <c r="A55" s="35" t="s">
        <v>287</v>
      </c>
      <c r="B55" s="58" t="s">
        <v>286</v>
      </c>
      <c r="C55" s="37" t="s">
        <v>288</v>
      </c>
      <c r="D55" s="38">
        <f t="shared" si="6"/>
        <v>11.986</v>
      </c>
      <c r="E55" s="40">
        <f>6+5.986</f>
        <v>11.986</v>
      </c>
      <c r="F55" s="38"/>
      <c r="G55" s="38"/>
      <c r="H55" s="38"/>
      <c r="I55" s="38"/>
      <c r="J55" s="38"/>
      <c r="K55" s="38"/>
      <c r="L55" s="38"/>
      <c r="M55" s="38"/>
      <c r="N55" s="38"/>
      <c r="O55" s="32"/>
      <c r="P55" s="40">
        <f t="shared" si="3"/>
        <v>11.986</v>
      </c>
      <c r="Q55" s="77"/>
    </row>
    <row r="56" spans="1:17" ht="42.75" customHeight="1">
      <c r="A56" s="35" t="s">
        <v>332</v>
      </c>
      <c r="B56" s="58" t="s">
        <v>322</v>
      </c>
      <c r="C56" s="37" t="s">
        <v>333</v>
      </c>
      <c r="D56" s="38">
        <f t="shared" si="6"/>
        <v>641.147</v>
      </c>
      <c r="E56" s="40">
        <v>641.147</v>
      </c>
      <c r="F56" s="38"/>
      <c r="G56" s="38"/>
      <c r="H56" s="38"/>
      <c r="I56" s="38"/>
      <c r="J56" s="38"/>
      <c r="K56" s="38"/>
      <c r="L56" s="38"/>
      <c r="M56" s="38"/>
      <c r="N56" s="38"/>
      <c r="O56" s="32"/>
      <c r="P56" s="40">
        <f t="shared" si="3"/>
        <v>641.147</v>
      </c>
      <c r="Q56" s="77"/>
    </row>
    <row r="57" spans="1:17" ht="33.75" customHeight="1">
      <c r="A57" s="35" t="s">
        <v>263</v>
      </c>
      <c r="B57" s="36" t="s">
        <v>81</v>
      </c>
      <c r="C57" s="37" t="s">
        <v>205</v>
      </c>
      <c r="D57" s="38">
        <f t="shared" si="6"/>
        <v>12640</v>
      </c>
      <c r="E57" s="38">
        <f>E58+E59</f>
        <v>12610</v>
      </c>
      <c r="F57" s="38">
        <f aca="true" t="shared" si="7" ref="F57:O57">F58+F59</f>
        <v>0</v>
      </c>
      <c r="G57" s="38">
        <f t="shared" si="7"/>
        <v>0</v>
      </c>
      <c r="H57" s="38">
        <f t="shared" si="7"/>
        <v>30</v>
      </c>
      <c r="I57" s="38">
        <f t="shared" si="7"/>
        <v>0</v>
      </c>
      <c r="J57" s="38">
        <f t="shared" si="7"/>
        <v>0</v>
      </c>
      <c r="K57" s="38">
        <f t="shared" si="7"/>
        <v>0</v>
      </c>
      <c r="L57" s="38">
        <f t="shared" si="7"/>
        <v>0</v>
      </c>
      <c r="M57" s="38">
        <f t="shared" si="7"/>
        <v>0</v>
      </c>
      <c r="N57" s="38">
        <f t="shared" si="7"/>
        <v>0</v>
      </c>
      <c r="O57" s="38">
        <f t="shared" si="7"/>
        <v>0</v>
      </c>
      <c r="P57" s="40">
        <f t="shared" si="3"/>
        <v>12640</v>
      </c>
      <c r="Q57" s="77"/>
    </row>
    <row r="58" spans="1:17" ht="42.75" customHeight="1">
      <c r="A58" s="35" t="s">
        <v>264</v>
      </c>
      <c r="B58" s="33"/>
      <c r="C58" s="37" t="s">
        <v>244</v>
      </c>
      <c r="D58" s="38">
        <f>E58</f>
        <v>12560</v>
      </c>
      <c r="E58" s="38">
        <v>12560</v>
      </c>
      <c r="F58" s="38"/>
      <c r="G58" s="38"/>
      <c r="H58" s="38"/>
      <c r="I58" s="38"/>
      <c r="J58" s="38"/>
      <c r="K58" s="38"/>
      <c r="L58" s="38"/>
      <c r="M58" s="38"/>
      <c r="N58" s="38"/>
      <c r="O58" s="32"/>
      <c r="P58" s="40">
        <f t="shared" si="3"/>
        <v>12560</v>
      </c>
      <c r="Q58" s="77"/>
    </row>
    <row r="59" spans="1:23" ht="61.5" customHeight="1">
      <c r="A59" s="35" t="s">
        <v>298</v>
      </c>
      <c r="B59" s="33"/>
      <c r="C59" s="66" t="s">
        <v>307</v>
      </c>
      <c r="D59" s="27">
        <f>D61+D62+D63+D64</f>
        <v>80</v>
      </c>
      <c r="E59" s="27">
        <f aca="true" t="shared" si="8" ref="E59:O59">E61+E62+E63+E64</f>
        <v>50</v>
      </c>
      <c r="F59" s="27">
        <f t="shared" si="8"/>
        <v>0</v>
      </c>
      <c r="G59" s="27">
        <f t="shared" si="8"/>
        <v>0</v>
      </c>
      <c r="H59" s="27">
        <f t="shared" si="8"/>
        <v>30</v>
      </c>
      <c r="I59" s="27">
        <f t="shared" si="8"/>
        <v>0</v>
      </c>
      <c r="J59" s="27">
        <f t="shared" si="8"/>
        <v>0</v>
      </c>
      <c r="K59" s="27">
        <f t="shared" si="8"/>
        <v>0</v>
      </c>
      <c r="L59" s="27">
        <f t="shared" si="8"/>
        <v>0</v>
      </c>
      <c r="M59" s="27">
        <f t="shared" si="8"/>
        <v>0</v>
      </c>
      <c r="N59" s="27">
        <f t="shared" si="8"/>
        <v>0</v>
      </c>
      <c r="O59" s="27">
        <f t="shared" si="8"/>
        <v>0</v>
      </c>
      <c r="P59" s="80">
        <f t="shared" si="3"/>
        <v>80</v>
      </c>
      <c r="Q59" s="81"/>
      <c r="R59" s="81"/>
      <c r="S59" s="27"/>
      <c r="T59" s="82"/>
      <c r="U59" s="27"/>
      <c r="V59" s="27"/>
      <c r="W59" s="27"/>
    </row>
    <row r="60" spans="1:23" ht="26.25" customHeight="1">
      <c r="A60" s="35"/>
      <c r="B60" s="33"/>
      <c r="C60" s="66" t="s">
        <v>292</v>
      </c>
      <c r="D60" s="66"/>
      <c r="E60" s="27"/>
      <c r="F60" s="27"/>
      <c r="G60" s="27"/>
      <c r="H60" s="27"/>
      <c r="I60" s="37"/>
      <c r="J60" s="37"/>
      <c r="K60" s="37"/>
      <c r="L60" s="37"/>
      <c r="M60" s="37"/>
      <c r="N60" s="37"/>
      <c r="O60" s="37"/>
      <c r="P60" s="80">
        <f t="shared" si="3"/>
        <v>0</v>
      </c>
      <c r="Q60" s="37"/>
      <c r="R60" s="37"/>
      <c r="S60" s="27"/>
      <c r="T60" s="27"/>
      <c r="U60" s="27"/>
      <c r="V60" s="27"/>
      <c r="W60" s="27"/>
    </row>
    <row r="61" spans="1:23" ht="65.25" customHeight="1">
      <c r="A61" s="35"/>
      <c r="B61" s="33"/>
      <c r="C61" s="83" t="s">
        <v>293</v>
      </c>
      <c r="D61" s="27">
        <f>E61</f>
        <v>10</v>
      </c>
      <c r="E61" s="27">
        <v>10</v>
      </c>
      <c r="F61" s="27"/>
      <c r="G61" s="27"/>
      <c r="H61" s="27"/>
      <c r="I61" s="37"/>
      <c r="J61" s="37"/>
      <c r="K61" s="37"/>
      <c r="L61" s="37"/>
      <c r="M61" s="37"/>
      <c r="N61" s="37"/>
      <c r="O61" s="37"/>
      <c r="P61" s="80">
        <f t="shared" si="3"/>
        <v>10</v>
      </c>
      <c r="Q61" s="37"/>
      <c r="R61" s="37"/>
      <c r="S61" s="27"/>
      <c r="T61" s="27"/>
      <c r="U61" s="27"/>
      <c r="V61" s="27"/>
      <c r="W61" s="27"/>
    </row>
    <row r="62" spans="1:23" ht="120.75" customHeight="1">
      <c r="A62" s="35"/>
      <c r="B62" s="33"/>
      <c r="C62" s="83" t="s">
        <v>294</v>
      </c>
      <c r="D62" s="27">
        <f>E62+H62</f>
        <v>10</v>
      </c>
      <c r="E62" s="27">
        <v>10</v>
      </c>
      <c r="F62" s="27"/>
      <c r="G62" s="27"/>
      <c r="H62" s="27"/>
      <c r="I62" s="37"/>
      <c r="J62" s="37"/>
      <c r="K62" s="37"/>
      <c r="L62" s="37"/>
      <c r="M62" s="37"/>
      <c r="N62" s="37"/>
      <c r="O62" s="37"/>
      <c r="P62" s="80">
        <f t="shared" si="3"/>
        <v>10</v>
      </c>
      <c r="Q62" s="37"/>
      <c r="R62" s="37"/>
      <c r="S62" s="27"/>
      <c r="T62" s="27"/>
      <c r="U62" s="27"/>
      <c r="V62" s="27"/>
      <c r="W62" s="27"/>
    </row>
    <row r="63" spans="1:23" ht="85.5" customHeight="1">
      <c r="A63" s="35"/>
      <c r="B63" s="33"/>
      <c r="C63" s="83" t="s">
        <v>295</v>
      </c>
      <c r="D63" s="27">
        <f>E63+H63</f>
        <v>20</v>
      </c>
      <c r="E63" s="27"/>
      <c r="F63" s="27"/>
      <c r="G63" s="27"/>
      <c r="H63" s="27">
        <v>20</v>
      </c>
      <c r="I63" s="37"/>
      <c r="J63" s="37"/>
      <c r="K63" s="37"/>
      <c r="L63" s="37"/>
      <c r="M63" s="37"/>
      <c r="N63" s="37"/>
      <c r="O63" s="37"/>
      <c r="P63" s="80">
        <f t="shared" si="3"/>
        <v>20</v>
      </c>
      <c r="Q63" s="37"/>
      <c r="R63" s="37"/>
      <c r="S63" s="27"/>
      <c r="T63" s="27"/>
      <c r="U63" s="27"/>
      <c r="V63" s="27"/>
      <c r="W63" s="27"/>
    </row>
    <row r="64" spans="1:23" ht="83.25" customHeight="1">
      <c r="A64" s="35"/>
      <c r="B64" s="36"/>
      <c r="C64" s="83" t="s">
        <v>296</v>
      </c>
      <c r="D64" s="27">
        <f>E64+H64</f>
        <v>40</v>
      </c>
      <c r="E64" s="27">
        <v>30</v>
      </c>
      <c r="F64" s="27"/>
      <c r="G64" s="27"/>
      <c r="H64" s="27">
        <v>10</v>
      </c>
      <c r="I64" s="37"/>
      <c r="J64" s="37"/>
      <c r="K64" s="37"/>
      <c r="L64" s="37"/>
      <c r="M64" s="37"/>
      <c r="N64" s="37"/>
      <c r="O64" s="37"/>
      <c r="P64" s="80">
        <f t="shared" si="3"/>
        <v>40</v>
      </c>
      <c r="Q64" s="37"/>
      <c r="R64" s="37"/>
      <c r="S64" s="27"/>
      <c r="T64" s="27"/>
      <c r="U64" s="27"/>
      <c r="V64" s="27"/>
      <c r="W64" s="27"/>
    </row>
    <row r="65" spans="1:23" ht="34.5" customHeight="1">
      <c r="A65" s="35"/>
      <c r="B65" s="36"/>
      <c r="C65" s="87" t="s">
        <v>304</v>
      </c>
      <c r="D65" s="27">
        <f>D57+D55+D48+D40+D56</f>
        <v>68520.114</v>
      </c>
      <c r="E65" s="27">
        <f>E57+E55+E48+E40+E56</f>
        <v>68490.114</v>
      </c>
      <c r="F65" s="27">
        <f>F57+F55+F48+F40+F56</f>
        <v>30761.068089999997</v>
      </c>
      <c r="G65" s="27">
        <f>G57+G55+G48+G40+G56</f>
        <v>8981.167</v>
      </c>
      <c r="H65" s="27">
        <f>H57+H55+H48+H40+H56</f>
        <v>30</v>
      </c>
      <c r="I65" s="27">
        <f>I57+I55+I48+I40+I56</f>
        <v>1370.749</v>
      </c>
      <c r="J65" s="27">
        <f>J57+J55+J48+J40+J56</f>
        <v>9.8</v>
      </c>
      <c r="K65" s="27">
        <f>K57+K55+K48+K40+K56</f>
        <v>0</v>
      </c>
      <c r="L65" s="27">
        <f>L57+L55+L48+L40+L56</f>
        <v>0</v>
      </c>
      <c r="M65" s="27">
        <f>M57+M55+M48+M40+M56</f>
        <v>1360.949</v>
      </c>
      <c r="N65" s="27">
        <f>N57+N55+N48+N40+N56</f>
        <v>1360.949</v>
      </c>
      <c r="O65" s="27">
        <f>O57+O55+O48+O40+O56</f>
        <v>1320.949</v>
      </c>
      <c r="P65" s="80">
        <f>I65+D65</f>
        <v>69890.863</v>
      </c>
      <c r="Q65" s="37"/>
      <c r="R65" s="37"/>
      <c r="S65" s="27"/>
      <c r="T65" s="27"/>
      <c r="U65" s="27"/>
      <c r="V65" s="27"/>
      <c r="W65" s="27"/>
    </row>
    <row r="66" spans="1:17" ht="65.25" customHeight="1">
      <c r="A66" s="35" t="s">
        <v>187</v>
      </c>
      <c r="B66" s="36"/>
      <c r="C66" s="64" t="s">
        <v>89</v>
      </c>
      <c r="D66" s="38"/>
      <c r="E66" s="38"/>
      <c r="F66" s="38"/>
      <c r="G66" s="38"/>
      <c r="H66" s="38"/>
      <c r="I66" s="38"/>
      <c r="J66" s="38"/>
      <c r="K66" s="38"/>
      <c r="L66" s="38"/>
      <c r="M66" s="38"/>
      <c r="N66" s="38"/>
      <c r="O66" s="32"/>
      <c r="P66" s="80">
        <f t="shared" si="3"/>
        <v>0</v>
      </c>
      <c r="Q66" s="77"/>
    </row>
    <row r="67" spans="1:17" ht="60" customHeight="1">
      <c r="A67" s="35" t="s">
        <v>196</v>
      </c>
      <c r="B67" s="36"/>
      <c r="C67" s="64" t="s">
        <v>89</v>
      </c>
      <c r="D67" s="38"/>
      <c r="E67" s="38"/>
      <c r="F67" s="38"/>
      <c r="G67" s="38"/>
      <c r="H67" s="38"/>
      <c r="I67" s="38"/>
      <c r="J67" s="38"/>
      <c r="K67" s="38"/>
      <c r="L67" s="38"/>
      <c r="M67" s="38"/>
      <c r="N67" s="38"/>
      <c r="O67" s="32"/>
      <c r="P67" s="80">
        <f t="shared" si="3"/>
        <v>0</v>
      </c>
      <c r="Q67" s="77"/>
    </row>
    <row r="68" spans="1:17" ht="44.25" customHeight="1">
      <c r="A68" s="35" t="s">
        <v>197</v>
      </c>
      <c r="B68" s="65" t="s">
        <v>23</v>
      </c>
      <c r="C68" s="64" t="s">
        <v>8</v>
      </c>
      <c r="D68" s="41">
        <f>H68+E68</f>
        <v>92485.89854</v>
      </c>
      <c r="E68" s="41">
        <f>E70+E71+E73+E74+E75+E76+E78+E79+E81+E82+E83+E84+E86+E87+E88+E92+E93+E94+E95+E96+E97+E98+E99+E100+E102+E101+E103+E105+E106+E108+E111+E112+E113+E115+E116+E118</f>
        <v>92485.89854</v>
      </c>
      <c r="F68" s="41">
        <f aca="true" t="shared" si="9" ref="F68:O68">F70+F71+F73+F74+F75+F76+F78+F79+F81+F82+F83+F84+F86+F87+F88+F92+F93+F94+F95+F96+F97+F98+F99+F100+F102+F101+F103+F105+F106+F108+F111+F112+F113+F115+F116+F118</f>
        <v>2520.0299999999997</v>
      </c>
      <c r="G68" s="41">
        <f t="shared" si="9"/>
        <v>209.69200000000004</v>
      </c>
      <c r="H68" s="41">
        <f t="shared" si="9"/>
        <v>0</v>
      </c>
      <c r="I68" s="41">
        <f t="shared" si="9"/>
        <v>228.001</v>
      </c>
      <c r="J68" s="41">
        <f t="shared" si="9"/>
        <v>228.001</v>
      </c>
      <c r="K68" s="41">
        <f t="shared" si="9"/>
        <v>15.5</v>
      </c>
      <c r="L68" s="41">
        <f t="shared" si="9"/>
        <v>0</v>
      </c>
      <c r="M68" s="41">
        <f t="shared" si="9"/>
        <v>0</v>
      </c>
      <c r="N68" s="41">
        <f t="shared" si="9"/>
        <v>0</v>
      </c>
      <c r="O68" s="41">
        <f t="shared" si="9"/>
        <v>0</v>
      </c>
      <c r="P68" s="40">
        <f aca="true" t="shared" si="10" ref="P68:P80">I68+D68</f>
        <v>92713.89954</v>
      </c>
      <c r="Q68" s="77"/>
    </row>
    <row r="69" spans="1:17" ht="127.5" customHeight="1">
      <c r="A69" s="35" t="s">
        <v>206</v>
      </c>
      <c r="B69" s="65"/>
      <c r="C69" s="54" t="s">
        <v>207</v>
      </c>
      <c r="D69" s="41">
        <f>E69+H69</f>
        <v>24274.3</v>
      </c>
      <c r="E69" s="41">
        <f>E70+E71+E73+E74+E75+E76</f>
        <v>24274.3</v>
      </c>
      <c r="F69" s="41"/>
      <c r="G69" s="41"/>
      <c r="H69" s="41"/>
      <c r="I69" s="41"/>
      <c r="J69" s="41"/>
      <c r="K69" s="41"/>
      <c r="L69" s="41"/>
      <c r="M69" s="41"/>
      <c r="N69" s="38"/>
      <c r="O69" s="32"/>
      <c r="P69" s="40">
        <f t="shared" si="10"/>
        <v>24274.3</v>
      </c>
      <c r="Q69" s="77"/>
    </row>
    <row r="70" spans="1:17" ht="340.5" customHeight="1">
      <c r="A70" s="35" t="s">
        <v>112</v>
      </c>
      <c r="B70" s="36" t="s">
        <v>35</v>
      </c>
      <c r="C70" s="54" t="s">
        <v>113</v>
      </c>
      <c r="D70" s="38">
        <f>E70+H70</f>
        <v>2995.614</v>
      </c>
      <c r="E70" s="38">
        <f>2998.614-3</f>
        <v>2995.614</v>
      </c>
      <c r="F70" s="38"/>
      <c r="G70" s="32"/>
      <c r="H70" s="38"/>
      <c r="I70" s="38"/>
      <c r="J70" s="38"/>
      <c r="K70" s="38"/>
      <c r="L70" s="38"/>
      <c r="M70" s="38"/>
      <c r="N70" s="67"/>
      <c r="O70" s="32"/>
      <c r="P70" s="40">
        <f t="shared" si="10"/>
        <v>2995.614</v>
      </c>
      <c r="Q70" s="77"/>
    </row>
    <row r="71" spans="1:17" ht="409.5" customHeight="1">
      <c r="A71" s="35" t="s">
        <v>115</v>
      </c>
      <c r="B71" s="36" t="s">
        <v>38</v>
      </c>
      <c r="C71" s="28" t="s">
        <v>256</v>
      </c>
      <c r="D71" s="38">
        <f aca="true" t="shared" si="11" ref="D71:D119">E71+H71</f>
        <v>184.254</v>
      </c>
      <c r="E71" s="38">
        <f>223.659-39.405</f>
        <v>184.254</v>
      </c>
      <c r="F71" s="38"/>
      <c r="G71" s="32"/>
      <c r="H71" s="38"/>
      <c r="I71" s="38"/>
      <c r="J71" s="38"/>
      <c r="K71" s="38"/>
      <c r="L71" s="38"/>
      <c r="M71" s="38"/>
      <c r="N71" s="67"/>
      <c r="O71" s="32"/>
      <c r="P71" s="40">
        <f t="shared" si="10"/>
        <v>184.254</v>
      </c>
      <c r="Q71" s="77"/>
    </row>
    <row r="72" spans="1:17" ht="324.75" customHeight="1">
      <c r="A72" s="35"/>
      <c r="B72" s="36"/>
      <c r="C72" s="76" t="s">
        <v>257</v>
      </c>
      <c r="D72" s="38"/>
      <c r="E72" s="38"/>
      <c r="F72" s="38"/>
      <c r="G72" s="32"/>
      <c r="H72" s="38"/>
      <c r="I72" s="38"/>
      <c r="J72" s="38"/>
      <c r="K72" s="38"/>
      <c r="L72" s="38"/>
      <c r="M72" s="38"/>
      <c r="N72" s="38"/>
      <c r="O72" s="32"/>
      <c r="P72" s="40"/>
      <c r="Q72" s="77"/>
    </row>
    <row r="73" spans="1:17" ht="127.5" customHeight="1">
      <c r="A73" s="35" t="s">
        <v>121</v>
      </c>
      <c r="B73" s="36" t="s">
        <v>40</v>
      </c>
      <c r="C73" s="28" t="s">
        <v>122</v>
      </c>
      <c r="D73" s="38">
        <f t="shared" si="11"/>
        <v>72.961</v>
      </c>
      <c r="E73" s="38">
        <f>90.661-17.7</f>
        <v>72.961</v>
      </c>
      <c r="F73" s="38"/>
      <c r="G73" s="32"/>
      <c r="H73" s="38"/>
      <c r="I73" s="38"/>
      <c r="J73" s="38"/>
      <c r="K73" s="38"/>
      <c r="L73" s="38"/>
      <c r="M73" s="38"/>
      <c r="N73" s="67"/>
      <c r="O73" s="32"/>
      <c r="P73" s="40">
        <f t="shared" si="10"/>
        <v>72.961</v>
      </c>
      <c r="Q73" s="77"/>
    </row>
    <row r="74" spans="1:17" ht="231" customHeight="1">
      <c r="A74" s="35" t="s">
        <v>127</v>
      </c>
      <c r="B74" s="36" t="s">
        <v>43</v>
      </c>
      <c r="C74" s="28" t="s">
        <v>128</v>
      </c>
      <c r="D74" s="38">
        <f t="shared" si="11"/>
        <v>430.854</v>
      </c>
      <c r="E74" s="38">
        <f>592.049-161.195</f>
        <v>430.854</v>
      </c>
      <c r="F74" s="38"/>
      <c r="G74" s="32"/>
      <c r="H74" s="38"/>
      <c r="I74" s="38"/>
      <c r="J74" s="38"/>
      <c r="K74" s="38"/>
      <c r="L74" s="38"/>
      <c r="M74" s="38"/>
      <c r="N74" s="67"/>
      <c r="O74" s="32"/>
      <c r="P74" s="40">
        <f t="shared" si="10"/>
        <v>430.854</v>
      </c>
      <c r="Q74" s="77"/>
    </row>
    <row r="75" spans="1:17" ht="49.5" customHeight="1">
      <c r="A75" s="35" t="s">
        <v>136</v>
      </c>
      <c r="B75" s="36" t="s">
        <v>75</v>
      </c>
      <c r="C75" s="54" t="s">
        <v>131</v>
      </c>
      <c r="D75" s="38">
        <f t="shared" si="11"/>
        <v>962.9069999999999</v>
      </c>
      <c r="E75" s="38">
        <f>894.261+68.646</f>
        <v>962.9069999999999</v>
      </c>
      <c r="F75" s="38"/>
      <c r="G75" s="38"/>
      <c r="H75" s="38"/>
      <c r="I75" s="38"/>
      <c r="J75" s="38"/>
      <c r="K75" s="38"/>
      <c r="L75" s="38"/>
      <c r="M75" s="38"/>
      <c r="N75" s="67"/>
      <c r="O75" s="32"/>
      <c r="P75" s="40">
        <f t="shared" si="10"/>
        <v>962.9069999999999</v>
      </c>
      <c r="Q75" s="77"/>
    </row>
    <row r="76" spans="1:17" ht="69.75" customHeight="1">
      <c r="A76" s="35" t="s">
        <v>154</v>
      </c>
      <c r="B76" s="36" t="s">
        <v>54</v>
      </c>
      <c r="C76" s="54" t="s">
        <v>155</v>
      </c>
      <c r="D76" s="38">
        <f t="shared" si="11"/>
        <v>19627.71</v>
      </c>
      <c r="E76" s="38">
        <f>767.056+6208+12652.654</f>
        <v>19627.71</v>
      </c>
      <c r="F76" s="38"/>
      <c r="G76" s="32"/>
      <c r="H76" s="38"/>
      <c r="I76" s="38"/>
      <c r="J76" s="38"/>
      <c r="K76" s="38"/>
      <c r="L76" s="38"/>
      <c r="M76" s="38"/>
      <c r="N76" s="38"/>
      <c r="O76" s="32"/>
      <c r="P76" s="40">
        <f t="shared" si="10"/>
        <v>19627.71</v>
      </c>
      <c r="Q76" s="77"/>
    </row>
    <row r="77" spans="1:17" ht="73.5" customHeight="1">
      <c r="A77" s="35" t="s">
        <v>208</v>
      </c>
      <c r="B77" s="36"/>
      <c r="C77" s="54" t="s">
        <v>222</v>
      </c>
      <c r="D77" s="41">
        <f>E77+H77</f>
        <v>1731.8</v>
      </c>
      <c r="E77" s="41">
        <f>E78+E79+E81+E82+E83+E84</f>
        <v>1731.8</v>
      </c>
      <c r="F77" s="38"/>
      <c r="G77" s="32"/>
      <c r="H77" s="38"/>
      <c r="I77" s="38"/>
      <c r="J77" s="38"/>
      <c r="K77" s="38"/>
      <c r="L77" s="38"/>
      <c r="M77" s="38"/>
      <c r="N77" s="38"/>
      <c r="O77" s="32"/>
      <c r="P77" s="40">
        <f t="shared" si="10"/>
        <v>1731.8</v>
      </c>
      <c r="Q77" s="77"/>
    </row>
    <row r="78" spans="1:17" ht="233.25" customHeight="1">
      <c r="A78" s="35" t="s">
        <v>114</v>
      </c>
      <c r="B78" s="36" t="s">
        <v>36</v>
      </c>
      <c r="C78" s="28" t="s">
        <v>116</v>
      </c>
      <c r="D78" s="38">
        <f t="shared" si="11"/>
        <v>180.30088</v>
      </c>
      <c r="E78" s="38">
        <f>186.503-59.57+15.698+37.66988</f>
        <v>180.30088</v>
      </c>
      <c r="F78" s="38"/>
      <c r="G78" s="32"/>
      <c r="H78" s="38"/>
      <c r="I78" s="38"/>
      <c r="J78" s="38"/>
      <c r="K78" s="38"/>
      <c r="L78" s="38"/>
      <c r="M78" s="38"/>
      <c r="N78" s="67"/>
      <c r="O78" s="32"/>
      <c r="P78" s="40">
        <f t="shared" si="10"/>
        <v>180.30088</v>
      </c>
      <c r="Q78" s="77"/>
    </row>
    <row r="79" spans="1:17" ht="337.5" customHeight="1">
      <c r="A79" s="35" t="s">
        <v>119</v>
      </c>
      <c r="B79" s="36" t="s">
        <v>39</v>
      </c>
      <c r="C79" s="89" t="s">
        <v>120</v>
      </c>
      <c r="D79" s="38">
        <f t="shared" si="11"/>
        <v>2.73224</v>
      </c>
      <c r="E79" s="38">
        <f>2.976-0.53704+0.29328</f>
        <v>2.73224</v>
      </c>
      <c r="F79" s="38"/>
      <c r="G79" s="32"/>
      <c r="H79" s="38"/>
      <c r="I79" s="38"/>
      <c r="J79" s="38"/>
      <c r="K79" s="38"/>
      <c r="L79" s="38"/>
      <c r="M79" s="38"/>
      <c r="N79" s="67"/>
      <c r="O79" s="32"/>
      <c r="P79" s="40">
        <f t="shared" si="10"/>
        <v>2.73224</v>
      </c>
      <c r="Q79" s="77"/>
    </row>
    <row r="80" spans="1:17" ht="108.75" customHeight="1">
      <c r="A80" s="35"/>
      <c r="B80" s="36"/>
      <c r="C80" s="28" t="s">
        <v>258</v>
      </c>
      <c r="D80" s="38"/>
      <c r="E80" s="38"/>
      <c r="F80" s="38"/>
      <c r="G80" s="32"/>
      <c r="H80" s="38"/>
      <c r="I80" s="38"/>
      <c r="J80" s="38"/>
      <c r="K80" s="38"/>
      <c r="L80" s="38"/>
      <c r="M80" s="38"/>
      <c r="N80" s="38"/>
      <c r="O80" s="32"/>
      <c r="P80" s="40">
        <f t="shared" si="10"/>
        <v>0</v>
      </c>
      <c r="Q80" s="77"/>
    </row>
    <row r="81" spans="1:17" ht="108.75" customHeight="1">
      <c r="A81" s="35" t="s">
        <v>123</v>
      </c>
      <c r="B81" s="36" t="s">
        <v>41</v>
      </c>
      <c r="C81" s="28" t="s">
        <v>124</v>
      </c>
      <c r="D81" s="38">
        <f t="shared" si="11"/>
        <v>2.0491800000000002</v>
      </c>
      <c r="E81" s="38">
        <f>2.232-0.40278+0.21996</f>
        <v>2.0491800000000002</v>
      </c>
      <c r="F81" s="38"/>
      <c r="G81" s="32"/>
      <c r="H81" s="38"/>
      <c r="I81" s="38"/>
      <c r="J81" s="38"/>
      <c r="K81" s="38"/>
      <c r="L81" s="38"/>
      <c r="M81" s="38"/>
      <c r="N81" s="67"/>
      <c r="O81" s="32"/>
      <c r="P81" s="40">
        <f aca="true" t="shared" si="12" ref="P81:P145">I81+D81</f>
        <v>2.0491800000000002</v>
      </c>
      <c r="Q81" s="77"/>
    </row>
    <row r="82" spans="1:17" ht="227.25" customHeight="1">
      <c r="A82" s="35" t="s">
        <v>132</v>
      </c>
      <c r="B82" s="36" t="s">
        <v>44</v>
      </c>
      <c r="C82" s="28" t="s">
        <v>129</v>
      </c>
      <c r="D82" s="38">
        <f t="shared" si="11"/>
        <v>84.637</v>
      </c>
      <c r="E82" s="38">
        <f>100.687-20+3.95</f>
        <v>84.637</v>
      </c>
      <c r="F82" s="38"/>
      <c r="G82" s="32"/>
      <c r="H82" s="38"/>
      <c r="I82" s="38"/>
      <c r="J82" s="38"/>
      <c r="K82" s="38"/>
      <c r="L82" s="38"/>
      <c r="M82" s="38"/>
      <c r="N82" s="67"/>
      <c r="O82" s="32"/>
      <c r="P82" s="40">
        <f t="shared" si="12"/>
        <v>84.637</v>
      </c>
      <c r="Q82" s="77"/>
    </row>
    <row r="83" spans="1:17" ht="74.25" customHeight="1">
      <c r="A83" s="35" t="s">
        <v>137</v>
      </c>
      <c r="B83" s="36" t="s">
        <v>76</v>
      </c>
      <c r="C83" s="54" t="s">
        <v>138</v>
      </c>
      <c r="D83" s="38">
        <f t="shared" si="11"/>
        <v>167.3886</v>
      </c>
      <c r="E83" s="38">
        <f>169.536-8+1.521+4.3316</f>
        <v>167.3886</v>
      </c>
      <c r="F83" s="38"/>
      <c r="G83" s="38"/>
      <c r="H83" s="38"/>
      <c r="I83" s="38"/>
      <c r="J83" s="38"/>
      <c r="K83" s="38"/>
      <c r="L83" s="38"/>
      <c r="M83" s="38"/>
      <c r="N83" s="67"/>
      <c r="O83" s="38"/>
      <c r="P83" s="40">
        <f t="shared" si="12"/>
        <v>167.3886</v>
      </c>
      <c r="Q83" s="77"/>
    </row>
    <row r="84" spans="1:17" ht="93" customHeight="1">
      <c r="A84" s="35" t="s">
        <v>156</v>
      </c>
      <c r="B84" s="36" t="s">
        <v>70</v>
      </c>
      <c r="C84" s="54" t="s">
        <v>157</v>
      </c>
      <c r="D84" s="38">
        <f t="shared" si="11"/>
        <v>1294.6921</v>
      </c>
      <c r="E84" s="38">
        <f>377.566+88.50982+196.61776+631.99852</f>
        <v>1294.6921</v>
      </c>
      <c r="F84" s="38"/>
      <c r="G84" s="38"/>
      <c r="H84" s="38"/>
      <c r="I84" s="38"/>
      <c r="J84" s="38"/>
      <c r="K84" s="38"/>
      <c r="L84" s="38"/>
      <c r="M84" s="38"/>
      <c r="N84" s="38"/>
      <c r="O84" s="38"/>
      <c r="P84" s="40">
        <f t="shared" si="12"/>
        <v>1294.6921</v>
      </c>
      <c r="Q84" s="77"/>
    </row>
    <row r="85" spans="1:17" ht="297.75" customHeight="1">
      <c r="A85" s="35" t="s">
        <v>209</v>
      </c>
      <c r="B85" s="36"/>
      <c r="C85" s="88" t="s">
        <v>210</v>
      </c>
      <c r="D85" s="38">
        <f t="shared" si="11"/>
        <v>348.2</v>
      </c>
      <c r="E85" s="38">
        <f>E86+E87+E88+E89+E90</f>
        <v>348.2</v>
      </c>
      <c r="F85" s="38"/>
      <c r="G85" s="38"/>
      <c r="H85" s="38"/>
      <c r="I85" s="38"/>
      <c r="J85" s="38"/>
      <c r="K85" s="38"/>
      <c r="L85" s="38"/>
      <c r="M85" s="38"/>
      <c r="N85" s="38"/>
      <c r="O85" s="38"/>
      <c r="P85" s="40">
        <f t="shared" si="12"/>
        <v>348.2</v>
      </c>
      <c r="Q85" s="77"/>
    </row>
    <row r="86" spans="1:17" ht="329.25" customHeight="1">
      <c r="A86" s="35" t="s">
        <v>117</v>
      </c>
      <c r="B86" s="36" t="s">
        <v>37</v>
      </c>
      <c r="C86" s="54" t="s">
        <v>118</v>
      </c>
      <c r="D86" s="38">
        <f t="shared" si="11"/>
        <v>18.352880000000003</v>
      </c>
      <c r="E86" s="38">
        <f>47.93-22.15-6.84-0.58712</f>
        <v>18.352880000000003</v>
      </c>
      <c r="F86" s="38"/>
      <c r="G86" s="40"/>
      <c r="H86" s="38"/>
      <c r="I86" s="38"/>
      <c r="J86" s="38"/>
      <c r="K86" s="38"/>
      <c r="L86" s="38"/>
      <c r="M86" s="38"/>
      <c r="N86" s="38"/>
      <c r="O86" s="32"/>
      <c r="P86" s="40">
        <f t="shared" si="12"/>
        <v>18.352880000000003</v>
      </c>
      <c r="Q86" s="77"/>
    </row>
    <row r="87" spans="1:17" ht="132.75" customHeight="1">
      <c r="A87" s="35" t="s">
        <v>125</v>
      </c>
      <c r="B87" s="36" t="s">
        <v>42</v>
      </c>
      <c r="C87" s="54" t="s">
        <v>126</v>
      </c>
      <c r="D87" s="38">
        <f t="shared" si="11"/>
        <v>1.39266</v>
      </c>
      <c r="E87" s="38">
        <f>2-0.60734</f>
        <v>1.39266</v>
      </c>
      <c r="F87" s="38"/>
      <c r="G87" s="32"/>
      <c r="H87" s="38"/>
      <c r="I87" s="38"/>
      <c r="J87" s="38"/>
      <c r="K87" s="38"/>
      <c r="L87" s="38"/>
      <c r="M87" s="38"/>
      <c r="N87" s="38"/>
      <c r="O87" s="32"/>
      <c r="P87" s="40">
        <f t="shared" si="12"/>
        <v>1.39266</v>
      </c>
      <c r="Q87" s="77"/>
    </row>
    <row r="88" spans="1:17" ht="48.75" customHeight="1">
      <c r="A88" s="35" t="s">
        <v>135</v>
      </c>
      <c r="B88" s="36" t="s">
        <v>46</v>
      </c>
      <c r="C88" s="54" t="s">
        <v>130</v>
      </c>
      <c r="D88" s="38">
        <f t="shared" si="11"/>
        <v>100.582</v>
      </c>
      <c r="E88" s="38">
        <f>123.6-10.5-12.518</f>
        <v>100.582</v>
      </c>
      <c r="F88" s="38"/>
      <c r="G88" s="38"/>
      <c r="H88" s="38"/>
      <c r="I88" s="38"/>
      <c r="J88" s="38"/>
      <c r="K88" s="38"/>
      <c r="L88" s="38"/>
      <c r="M88" s="38"/>
      <c r="N88" s="38"/>
      <c r="O88" s="32"/>
      <c r="P88" s="40">
        <f t="shared" si="12"/>
        <v>100.582</v>
      </c>
      <c r="Q88" s="77"/>
    </row>
    <row r="89" spans="1:17" ht="69.75" customHeight="1">
      <c r="A89" s="35" t="s">
        <v>174</v>
      </c>
      <c r="B89" s="36" t="s">
        <v>62</v>
      </c>
      <c r="C89" s="54" t="s">
        <v>175</v>
      </c>
      <c r="D89" s="67">
        <f t="shared" si="11"/>
        <v>139.42379</v>
      </c>
      <c r="E89" s="67">
        <f>71.67+16.325+6.84+9.75833+34.83046</f>
        <v>139.42379</v>
      </c>
      <c r="F89" s="67"/>
      <c r="G89" s="67"/>
      <c r="H89" s="67"/>
      <c r="I89" s="67"/>
      <c r="J89" s="67"/>
      <c r="K89" s="67"/>
      <c r="L89" s="67"/>
      <c r="M89" s="67"/>
      <c r="N89" s="67"/>
      <c r="O89" s="91"/>
      <c r="P89" s="79">
        <f t="shared" si="12"/>
        <v>139.42379</v>
      </c>
      <c r="Q89" s="77"/>
    </row>
    <row r="90" spans="1:17" ht="63" customHeight="1">
      <c r="A90" s="35" t="s">
        <v>176</v>
      </c>
      <c r="B90" s="36" t="s">
        <v>63</v>
      </c>
      <c r="C90" s="54" t="s">
        <v>177</v>
      </c>
      <c r="D90" s="67">
        <f t="shared" si="11"/>
        <v>88.44867</v>
      </c>
      <c r="E90" s="67">
        <f>73+16.325-9.75833+8.882</f>
        <v>88.44867</v>
      </c>
      <c r="F90" s="67"/>
      <c r="G90" s="67"/>
      <c r="H90" s="67"/>
      <c r="I90" s="67"/>
      <c r="J90" s="67"/>
      <c r="K90" s="67"/>
      <c r="L90" s="67"/>
      <c r="M90" s="67"/>
      <c r="N90" s="67"/>
      <c r="O90" s="91"/>
      <c r="P90" s="79">
        <f t="shared" si="12"/>
        <v>88.44867</v>
      </c>
      <c r="Q90" s="77"/>
    </row>
    <row r="91" spans="1:16" ht="69" customHeight="1">
      <c r="A91" s="35" t="s">
        <v>211</v>
      </c>
      <c r="B91" s="36"/>
      <c r="C91" s="54" t="s">
        <v>212</v>
      </c>
      <c r="D91" s="41">
        <f>E91+H91</f>
        <v>60857.46</v>
      </c>
      <c r="E91" s="41">
        <f>E92+E93+E94+E95+E96+E97+E98+E99+E100</f>
        <v>60857.46</v>
      </c>
      <c r="F91" s="38"/>
      <c r="G91" s="38"/>
      <c r="H91" s="38"/>
      <c r="I91" s="38"/>
      <c r="J91" s="38"/>
      <c r="K91" s="38"/>
      <c r="L91" s="38"/>
      <c r="M91" s="38"/>
      <c r="N91" s="38"/>
      <c r="O91" s="32"/>
      <c r="P91" s="38">
        <f t="shared" si="12"/>
        <v>60857.46</v>
      </c>
    </row>
    <row r="92" spans="1:16" ht="48.75" customHeight="1">
      <c r="A92" s="35" t="s">
        <v>139</v>
      </c>
      <c r="B92" s="36" t="s">
        <v>47</v>
      </c>
      <c r="C92" s="54" t="s">
        <v>140</v>
      </c>
      <c r="D92" s="38">
        <f t="shared" si="11"/>
        <v>379</v>
      </c>
      <c r="E92" s="38">
        <f>412-45+12</f>
        <v>379</v>
      </c>
      <c r="F92" s="38"/>
      <c r="G92" s="38"/>
      <c r="H92" s="38"/>
      <c r="I92" s="38"/>
      <c r="J92" s="38"/>
      <c r="K92" s="38"/>
      <c r="L92" s="38"/>
      <c r="M92" s="38"/>
      <c r="N92" s="38"/>
      <c r="O92" s="32"/>
      <c r="P92" s="38">
        <f t="shared" si="12"/>
        <v>379</v>
      </c>
    </row>
    <row r="93" spans="1:16" ht="52.5" customHeight="1">
      <c r="A93" s="35" t="s">
        <v>141</v>
      </c>
      <c r="B93" s="36" t="s">
        <v>48</v>
      </c>
      <c r="C93" s="54" t="s">
        <v>249</v>
      </c>
      <c r="D93" s="38">
        <f t="shared" si="11"/>
        <v>275</v>
      </c>
      <c r="E93" s="38">
        <f>300-25</f>
        <v>275</v>
      </c>
      <c r="F93" s="38"/>
      <c r="G93" s="38"/>
      <c r="H93" s="38"/>
      <c r="I93" s="38"/>
      <c r="J93" s="38"/>
      <c r="K93" s="38"/>
      <c r="L93" s="38"/>
      <c r="M93" s="38"/>
      <c r="N93" s="38"/>
      <c r="O93" s="32"/>
      <c r="P93" s="38">
        <f t="shared" si="12"/>
        <v>275</v>
      </c>
    </row>
    <row r="94" spans="1:16" ht="34.5" customHeight="1">
      <c r="A94" s="35" t="s">
        <v>142</v>
      </c>
      <c r="B94" s="36" t="s">
        <v>49</v>
      </c>
      <c r="C94" s="54" t="s">
        <v>143</v>
      </c>
      <c r="D94" s="38">
        <f t="shared" si="11"/>
        <v>22697.228</v>
      </c>
      <c r="E94" s="38">
        <f>21000+197.228+1500</f>
        <v>22697.228</v>
      </c>
      <c r="F94" s="38"/>
      <c r="G94" s="38"/>
      <c r="H94" s="38"/>
      <c r="I94" s="38"/>
      <c r="J94" s="38"/>
      <c r="K94" s="38"/>
      <c r="L94" s="38"/>
      <c r="M94" s="38"/>
      <c r="N94" s="38"/>
      <c r="O94" s="32"/>
      <c r="P94" s="38">
        <f t="shared" si="12"/>
        <v>22697.228</v>
      </c>
    </row>
    <row r="95" spans="1:16" ht="47.25" customHeight="1">
      <c r="A95" s="35" t="s">
        <v>144</v>
      </c>
      <c r="B95" s="36" t="s">
        <v>50</v>
      </c>
      <c r="C95" s="68" t="s">
        <v>145</v>
      </c>
      <c r="D95" s="38">
        <f t="shared" si="11"/>
        <v>2891.389</v>
      </c>
      <c r="E95" s="38">
        <f>2730.5-140+300.889</f>
        <v>2891.389</v>
      </c>
      <c r="F95" s="38"/>
      <c r="G95" s="38"/>
      <c r="H95" s="38"/>
      <c r="I95" s="38"/>
      <c r="J95" s="38"/>
      <c r="K95" s="38"/>
      <c r="L95" s="38"/>
      <c r="M95" s="38"/>
      <c r="N95" s="38"/>
      <c r="O95" s="32"/>
      <c r="P95" s="38">
        <f t="shared" si="12"/>
        <v>2891.389</v>
      </c>
    </row>
    <row r="96" spans="1:16" ht="34.5" customHeight="1">
      <c r="A96" s="35" t="s">
        <v>146</v>
      </c>
      <c r="B96" s="36" t="s">
        <v>51</v>
      </c>
      <c r="C96" s="54" t="s">
        <v>147</v>
      </c>
      <c r="D96" s="38">
        <f t="shared" si="11"/>
        <v>7395.091</v>
      </c>
      <c r="E96" s="38">
        <f>6900+495.091</f>
        <v>7395.091</v>
      </c>
      <c r="F96" s="38"/>
      <c r="G96" s="38"/>
      <c r="H96" s="38"/>
      <c r="I96" s="38"/>
      <c r="J96" s="38"/>
      <c r="K96" s="38"/>
      <c r="L96" s="38"/>
      <c r="M96" s="38"/>
      <c r="N96" s="38"/>
      <c r="O96" s="32"/>
      <c r="P96" s="38">
        <f t="shared" si="12"/>
        <v>7395.091</v>
      </c>
    </row>
    <row r="97" spans="1:16" ht="29.25" customHeight="1">
      <c r="A97" s="35" t="s">
        <v>148</v>
      </c>
      <c r="B97" s="36" t="s">
        <v>52</v>
      </c>
      <c r="C97" s="54" t="s">
        <v>149</v>
      </c>
      <c r="D97" s="38">
        <f t="shared" si="11"/>
        <v>1244.8719999999998</v>
      </c>
      <c r="E97" s="38">
        <f>890+104.872+250</f>
        <v>1244.8719999999998</v>
      </c>
      <c r="F97" s="38"/>
      <c r="G97" s="38"/>
      <c r="H97" s="38"/>
      <c r="I97" s="38"/>
      <c r="J97" s="38"/>
      <c r="K97" s="38"/>
      <c r="L97" s="38"/>
      <c r="M97" s="38"/>
      <c r="N97" s="38"/>
      <c r="O97" s="32"/>
      <c r="P97" s="38">
        <f t="shared" si="12"/>
        <v>1244.8719999999998</v>
      </c>
    </row>
    <row r="98" spans="1:16" ht="33.75" customHeight="1">
      <c r="A98" s="35" t="s">
        <v>150</v>
      </c>
      <c r="B98" s="36" t="s">
        <v>73</v>
      </c>
      <c r="C98" s="54" t="s">
        <v>151</v>
      </c>
      <c r="D98" s="38">
        <f t="shared" si="11"/>
        <v>25.5</v>
      </c>
      <c r="E98" s="38">
        <f>62.6-37.1</f>
        <v>25.5</v>
      </c>
      <c r="F98" s="38"/>
      <c r="G98" s="38"/>
      <c r="H98" s="38"/>
      <c r="I98" s="38"/>
      <c r="J98" s="38"/>
      <c r="K98" s="38"/>
      <c r="L98" s="38"/>
      <c r="M98" s="38"/>
      <c r="N98" s="38"/>
      <c r="O98" s="32"/>
      <c r="P98" s="38">
        <f t="shared" si="12"/>
        <v>25.5</v>
      </c>
    </row>
    <row r="99" spans="1:16" ht="39.75" customHeight="1">
      <c r="A99" s="35" t="s">
        <v>152</v>
      </c>
      <c r="B99" s="36" t="s">
        <v>53</v>
      </c>
      <c r="C99" s="54" t="s">
        <v>153</v>
      </c>
      <c r="D99" s="38">
        <f t="shared" si="11"/>
        <v>18761.379999999997</v>
      </c>
      <c r="E99" s="38">
        <f>16061.38+2700</f>
        <v>18761.379999999997</v>
      </c>
      <c r="F99" s="38"/>
      <c r="G99" s="38"/>
      <c r="H99" s="38"/>
      <c r="I99" s="38"/>
      <c r="J99" s="38"/>
      <c r="K99" s="38"/>
      <c r="L99" s="38"/>
      <c r="M99" s="38"/>
      <c r="N99" s="38"/>
      <c r="O99" s="32"/>
      <c r="P99" s="38">
        <f t="shared" si="12"/>
        <v>18761.379999999997</v>
      </c>
    </row>
    <row r="100" spans="1:16" ht="46.5" customHeight="1">
      <c r="A100" s="35" t="s">
        <v>168</v>
      </c>
      <c r="B100" s="36" t="s">
        <v>60</v>
      </c>
      <c r="C100" s="54" t="s">
        <v>169</v>
      </c>
      <c r="D100" s="38">
        <f t="shared" si="11"/>
        <v>7188</v>
      </c>
      <c r="E100" s="38">
        <f>6500+700-12</f>
        <v>7188</v>
      </c>
      <c r="F100" s="38"/>
      <c r="G100" s="38"/>
      <c r="H100" s="38"/>
      <c r="I100" s="38"/>
      <c r="J100" s="38"/>
      <c r="K100" s="38"/>
      <c r="L100" s="38"/>
      <c r="M100" s="38"/>
      <c r="N100" s="38"/>
      <c r="O100" s="32"/>
      <c r="P100" s="38">
        <f t="shared" si="12"/>
        <v>7188</v>
      </c>
    </row>
    <row r="101" spans="1:16" ht="46.5" customHeight="1">
      <c r="A101" s="35" t="s">
        <v>248</v>
      </c>
      <c r="B101" s="36" t="s">
        <v>58</v>
      </c>
      <c r="C101" s="54" t="s">
        <v>162</v>
      </c>
      <c r="D101" s="38">
        <f>E101</f>
        <v>635.5400000000001</v>
      </c>
      <c r="E101" s="38">
        <f>657.72-55+20.82+12</f>
        <v>635.5400000000001</v>
      </c>
      <c r="F101" s="38"/>
      <c r="G101" s="38"/>
      <c r="H101" s="38"/>
      <c r="I101" s="38"/>
      <c r="J101" s="38"/>
      <c r="K101" s="38"/>
      <c r="L101" s="38"/>
      <c r="M101" s="38"/>
      <c r="N101" s="38"/>
      <c r="O101" s="32"/>
      <c r="P101" s="38">
        <f t="shared" si="12"/>
        <v>635.5400000000001</v>
      </c>
    </row>
    <row r="102" spans="1:16" ht="58.5" customHeight="1">
      <c r="A102" s="35" t="s">
        <v>133</v>
      </c>
      <c r="B102" s="36" t="s">
        <v>45</v>
      </c>
      <c r="C102" s="54" t="s">
        <v>134</v>
      </c>
      <c r="D102" s="38">
        <f t="shared" si="11"/>
        <v>69.7</v>
      </c>
      <c r="E102" s="38">
        <f>64.2+5.5</f>
        <v>69.7</v>
      </c>
      <c r="F102" s="38"/>
      <c r="G102" s="32"/>
      <c r="H102" s="38"/>
      <c r="I102" s="38"/>
      <c r="J102" s="38"/>
      <c r="K102" s="38"/>
      <c r="L102" s="38"/>
      <c r="M102" s="38"/>
      <c r="N102" s="38"/>
      <c r="O102" s="32"/>
      <c r="P102" s="38">
        <f t="shared" si="12"/>
        <v>69.7</v>
      </c>
    </row>
    <row r="103" spans="1:16" ht="57.75" customHeight="1">
      <c r="A103" s="35" t="s">
        <v>160</v>
      </c>
      <c r="B103" s="36" t="s">
        <v>57</v>
      </c>
      <c r="C103" s="54" t="s">
        <v>161</v>
      </c>
      <c r="D103" s="38">
        <f t="shared" si="11"/>
        <v>21.2</v>
      </c>
      <c r="E103" s="38">
        <f>19.7+1.5</f>
        <v>21.2</v>
      </c>
      <c r="F103" s="38"/>
      <c r="G103" s="38"/>
      <c r="H103" s="38"/>
      <c r="I103" s="38"/>
      <c r="J103" s="38"/>
      <c r="K103" s="38"/>
      <c r="L103" s="38"/>
      <c r="M103" s="38"/>
      <c r="N103" s="38"/>
      <c r="O103" s="32"/>
      <c r="P103" s="38">
        <f t="shared" si="12"/>
        <v>21.2</v>
      </c>
    </row>
    <row r="104" spans="1:16" ht="87.75" customHeight="1">
      <c r="A104" s="35" t="s">
        <v>213</v>
      </c>
      <c r="B104" s="36"/>
      <c r="C104" s="54" t="s">
        <v>214</v>
      </c>
      <c r="D104" s="38">
        <f t="shared" si="11"/>
        <v>4017.4610000000002</v>
      </c>
      <c r="E104" s="38">
        <f>E105+E106</f>
        <v>4017.4610000000002</v>
      </c>
      <c r="F104" s="38">
        <f aca="true" t="shared" si="13" ref="F104:M104">F105+F106</f>
        <v>2429.1569999999997</v>
      </c>
      <c r="G104" s="38">
        <f t="shared" si="13"/>
        <v>201.75500000000002</v>
      </c>
      <c r="H104" s="38">
        <f t="shared" si="13"/>
        <v>0</v>
      </c>
      <c r="I104" s="38">
        <f t="shared" si="13"/>
        <v>228.001</v>
      </c>
      <c r="J104" s="38">
        <f t="shared" si="13"/>
        <v>228.001</v>
      </c>
      <c r="K104" s="38">
        <f t="shared" si="13"/>
        <v>15.5</v>
      </c>
      <c r="L104" s="38">
        <f t="shared" si="13"/>
        <v>0</v>
      </c>
      <c r="M104" s="38">
        <f t="shared" si="13"/>
        <v>0</v>
      </c>
      <c r="N104" s="38"/>
      <c r="O104" s="32"/>
      <c r="P104" s="38">
        <f t="shared" si="12"/>
        <v>4245.462</v>
      </c>
    </row>
    <row r="105" spans="1:16" ht="96.75" customHeight="1">
      <c r="A105" s="35" t="s">
        <v>247</v>
      </c>
      <c r="B105" s="36" t="s">
        <v>59</v>
      </c>
      <c r="C105" s="54" t="s">
        <v>282</v>
      </c>
      <c r="D105" s="38">
        <f t="shared" si="11"/>
        <v>3701.949</v>
      </c>
      <c r="E105" s="38">
        <f>3139.371+5.354+10+58.1+464.224+24.9</f>
        <v>3701.949</v>
      </c>
      <c r="F105" s="38">
        <f>1909.8+42.3+288.08+22.453</f>
        <v>2262.633</v>
      </c>
      <c r="G105" s="38">
        <f>162.971+26.966</f>
        <v>189.937</v>
      </c>
      <c r="H105" s="38"/>
      <c r="I105" s="38">
        <f>J105+M105</f>
        <v>228.001</v>
      </c>
      <c r="J105" s="38">
        <v>228.001</v>
      </c>
      <c r="K105" s="38">
        <v>15.5</v>
      </c>
      <c r="L105" s="38"/>
      <c r="M105" s="38"/>
      <c r="N105" s="38"/>
      <c r="O105" s="32"/>
      <c r="P105" s="38">
        <f t="shared" si="12"/>
        <v>3929.9500000000003</v>
      </c>
    </row>
    <row r="106" spans="1:16" ht="45.75" customHeight="1">
      <c r="A106" s="35" t="s">
        <v>259</v>
      </c>
      <c r="B106" s="36" t="s">
        <v>80</v>
      </c>
      <c r="C106" s="54" t="s">
        <v>165</v>
      </c>
      <c r="D106" s="38">
        <f t="shared" si="11"/>
        <v>315.512</v>
      </c>
      <c r="E106" s="69">
        <f>286.7+2.43+7.6+18.782</f>
        <v>315.512</v>
      </c>
      <c r="F106" s="69">
        <f>148.5+5.4+10.748+1.876</f>
        <v>166.524</v>
      </c>
      <c r="G106" s="38">
        <f>13.2+1.478-2.86</f>
        <v>11.818</v>
      </c>
      <c r="H106" s="38"/>
      <c r="I106" s="38"/>
      <c r="J106" s="38"/>
      <c r="K106" s="38"/>
      <c r="L106" s="38"/>
      <c r="M106" s="38"/>
      <c r="N106" s="38"/>
      <c r="O106" s="32"/>
      <c r="P106" s="38">
        <f t="shared" si="12"/>
        <v>315.512</v>
      </c>
    </row>
    <row r="107" spans="1:16" ht="51" customHeight="1">
      <c r="A107" s="35" t="s">
        <v>215</v>
      </c>
      <c r="B107" s="36"/>
      <c r="C107" s="54" t="s">
        <v>216</v>
      </c>
      <c r="D107" s="38">
        <f t="shared" si="11"/>
        <v>132.778</v>
      </c>
      <c r="E107" s="69">
        <f>E108</f>
        <v>132.778</v>
      </c>
      <c r="F107" s="69">
        <f aca="true" t="shared" si="14" ref="F107:O107">F108</f>
        <v>90.87299999999999</v>
      </c>
      <c r="G107" s="69">
        <f t="shared" si="14"/>
        <v>7.936999999999999</v>
      </c>
      <c r="H107" s="69">
        <f t="shared" si="14"/>
        <v>0</v>
      </c>
      <c r="I107" s="69">
        <f t="shared" si="14"/>
        <v>0</v>
      </c>
      <c r="J107" s="69">
        <f t="shared" si="14"/>
        <v>0</v>
      </c>
      <c r="K107" s="69">
        <f t="shared" si="14"/>
        <v>0</v>
      </c>
      <c r="L107" s="69">
        <f t="shared" si="14"/>
        <v>0</v>
      </c>
      <c r="M107" s="69">
        <f t="shared" si="14"/>
        <v>0</v>
      </c>
      <c r="N107" s="69"/>
      <c r="O107" s="69">
        <f t="shared" si="14"/>
        <v>0</v>
      </c>
      <c r="P107" s="38">
        <f t="shared" si="12"/>
        <v>132.778</v>
      </c>
    </row>
    <row r="108" spans="1:16" ht="24" customHeight="1">
      <c r="A108" s="35" t="s">
        <v>194</v>
      </c>
      <c r="B108" s="58" t="s">
        <v>28</v>
      </c>
      <c r="C108" s="46" t="s">
        <v>100</v>
      </c>
      <c r="D108" s="38">
        <f t="shared" si="11"/>
        <v>132.778</v>
      </c>
      <c r="E108" s="40">
        <f>121.1+1.734+2.9+7.044</f>
        <v>132.778</v>
      </c>
      <c r="F108" s="40">
        <f>79+2.1+5.353+4.42</f>
        <v>90.87299999999999</v>
      </c>
      <c r="G108" s="40">
        <f>7.1+0.837</f>
        <v>7.936999999999999</v>
      </c>
      <c r="H108" s="40"/>
      <c r="I108" s="40"/>
      <c r="J108" s="40"/>
      <c r="K108" s="40"/>
      <c r="L108" s="40"/>
      <c r="M108" s="40"/>
      <c r="N108" s="40"/>
      <c r="O108" s="32"/>
      <c r="P108" s="38">
        <f t="shared" si="12"/>
        <v>132.778</v>
      </c>
    </row>
    <row r="109" spans="1:16" ht="16.5" customHeight="1">
      <c r="A109" s="35"/>
      <c r="B109" s="49"/>
      <c r="C109" s="51"/>
      <c r="D109" s="38">
        <f t="shared" si="11"/>
        <v>0</v>
      </c>
      <c r="E109" s="38"/>
      <c r="F109" s="38"/>
      <c r="G109" s="38"/>
      <c r="H109" s="38"/>
      <c r="I109" s="38"/>
      <c r="J109" s="38"/>
      <c r="K109" s="38"/>
      <c r="L109" s="38"/>
      <c r="M109" s="38"/>
      <c r="N109" s="38"/>
      <c r="O109" s="32"/>
      <c r="P109" s="38">
        <f t="shared" si="12"/>
        <v>0</v>
      </c>
    </row>
    <row r="110" spans="1:16" ht="118.5" customHeight="1">
      <c r="A110" s="35" t="s">
        <v>217</v>
      </c>
      <c r="B110" s="58"/>
      <c r="C110" s="70" t="s">
        <v>218</v>
      </c>
      <c r="D110" s="41">
        <f t="shared" si="11"/>
        <v>247.1</v>
      </c>
      <c r="E110" s="41">
        <f>E111+E112+E113</f>
        <v>247.1</v>
      </c>
      <c r="F110" s="38"/>
      <c r="G110" s="38"/>
      <c r="H110" s="38"/>
      <c r="I110" s="38"/>
      <c r="J110" s="38"/>
      <c r="K110" s="38"/>
      <c r="L110" s="38"/>
      <c r="M110" s="38"/>
      <c r="N110" s="38"/>
      <c r="O110" s="32"/>
      <c r="P110" s="38">
        <f t="shared" si="12"/>
        <v>247.1</v>
      </c>
    </row>
    <row r="111" spans="1:16" ht="106.5" customHeight="1">
      <c r="A111" s="35" t="s">
        <v>163</v>
      </c>
      <c r="B111" s="36" t="s">
        <v>78</v>
      </c>
      <c r="C111" s="54" t="s">
        <v>164</v>
      </c>
      <c r="D111" s="38">
        <f t="shared" si="11"/>
        <v>235</v>
      </c>
      <c r="E111" s="38">
        <f>280-45</f>
        <v>235</v>
      </c>
      <c r="F111" s="38"/>
      <c r="G111" s="38"/>
      <c r="H111" s="38"/>
      <c r="I111" s="38"/>
      <c r="J111" s="38"/>
      <c r="K111" s="38"/>
      <c r="L111" s="38"/>
      <c r="M111" s="38"/>
      <c r="N111" s="38"/>
      <c r="O111" s="32"/>
      <c r="P111" s="38">
        <f t="shared" si="12"/>
        <v>235</v>
      </c>
    </row>
    <row r="112" spans="1:16" ht="88.5" customHeight="1">
      <c r="A112" s="35" t="s">
        <v>170</v>
      </c>
      <c r="B112" s="36" t="s">
        <v>69</v>
      </c>
      <c r="C112" s="54" t="s">
        <v>171</v>
      </c>
      <c r="D112" s="38">
        <f t="shared" si="11"/>
        <v>11.932</v>
      </c>
      <c r="E112" s="38">
        <v>11.932</v>
      </c>
      <c r="F112" s="38"/>
      <c r="G112" s="38"/>
      <c r="H112" s="38"/>
      <c r="I112" s="38"/>
      <c r="J112" s="38"/>
      <c r="K112" s="38"/>
      <c r="L112" s="38"/>
      <c r="M112" s="38"/>
      <c r="N112" s="38"/>
      <c r="O112" s="32"/>
      <c r="P112" s="38">
        <f t="shared" si="12"/>
        <v>11.932</v>
      </c>
    </row>
    <row r="113" spans="1:16" ht="45.75" customHeight="1">
      <c r="A113" s="35" t="s">
        <v>172</v>
      </c>
      <c r="B113" s="36" t="s">
        <v>61</v>
      </c>
      <c r="C113" s="54" t="s">
        <v>173</v>
      </c>
      <c r="D113" s="38">
        <f t="shared" si="11"/>
        <v>0.168</v>
      </c>
      <c r="E113" s="38">
        <v>0.168</v>
      </c>
      <c r="F113" s="38"/>
      <c r="G113" s="38"/>
      <c r="H113" s="38"/>
      <c r="I113" s="38"/>
      <c r="J113" s="38"/>
      <c r="K113" s="38"/>
      <c r="L113" s="38"/>
      <c r="M113" s="38"/>
      <c r="N113" s="38"/>
      <c r="O113" s="32"/>
      <c r="P113" s="38">
        <f t="shared" si="12"/>
        <v>0.168</v>
      </c>
    </row>
    <row r="114" spans="1:16" ht="48.75" customHeight="1">
      <c r="A114" s="35" t="s">
        <v>219</v>
      </c>
      <c r="B114" s="36"/>
      <c r="C114" s="54" t="s">
        <v>220</v>
      </c>
      <c r="D114" s="41">
        <f t="shared" si="11"/>
        <v>258.675</v>
      </c>
      <c r="E114" s="41">
        <f>E115+E116</f>
        <v>258.675</v>
      </c>
      <c r="F114" s="38"/>
      <c r="G114" s="38"/>
      <c r="H114" s="38"/>
      <c r="I114" s="38"/>
      <c r="J114" s="38"/>
      <c r="K114" s="38"/>
      <c r="L114" s="38"/>
      <c r="M114" s="38"/>
      <c r="N114" s="38"/>
      <c r="O114" s="32"/>
      <c r="P114" s="38">
        <f t="shared" si="12"/>
        <v>258.675</v>
      </c>
    </row>
    <row r="115" spans="1:16" ht="43.5" customHeight="1">
      <c r="A115" s="35" t="s">
        <v>159</v>
      </c>
      <c r="B115" s="36" t="s">
        <v>71</v>
      </c>
      <c r="C115" s="53" t="s">
        <v>72</v>
      </c>
      <c r="D115" s="38">
        <f t="shared" si="11"/>
        <v>200.6</v>
      </c>
      <c r="E115" s="38">
        <f>77.1+13.5+95+15</f>
        <v>200.6</v>
      </c>
      <c r="F115" s="38"/>
      <c r="G115" s="38"/>
      <c r="H115" s="38"/>
      <c r="I115" s="38"/>
      <c r="J115" s="38"/>
      <c r="K115" s="38"/>
      <c r="L115" s="38"/>
      <c r="M115" s="38"/>
      <c r="N115" s="38"/>
      <c r="O115" s="32"/>
      <c r="P115" s="38">
        <f t="shared" si="12"/>
        <v>200.6</v>
      </c>
    </row>
    <row r="116" spans="1:16" ht="71.25" customHeight="1">
      <c r="A116" s="35" t="s">
        <v>166</v>
      </c>
      <c r="B116" s="36" t="s">
        <v>67</v>
      </c>
      <c r="C116" s="54" t="s">
        <v>167</v>
      </c>
      <c r="D116" s="38">
        <f t="shared" si="11"/>
        <v>58.075</v>
      </c>
      <c r="E116" s="38">
        <f>56.5+1.963-0.388</f>
        <v>58.075</v>
      </c>
      <c r="F116" s="38"/>
      <c r="G116" s="38"/>
      <c r="H116" s="38"/>
      <c r="I116" s="38"/>
      <c r="J116" s="38"/>
      <c r="K116" s="38"/>
      <c r="L116" s="38"/>
      <c r="M116" s="38"/>
      <c r="N116" s="38"/>
      <c r="O116" s="32"/>
      <c r="P116" s="38">
        <f t="shared" si="12"/>
        <v>58.075</v>
      </c>
    </row>
    <row r="117" spans="1:16" ht="40.5" customHeight="1">
      <c r="A117" s="35" t="s">
        <v>221</v>
      </c>
      <c r="B117" s="36" t="s">
        <v>55</v>
      </c>
      <c r="C117" s="54" t="s">
        <v>56</v>
      </c>
      <c r="D117" s="38">
        <f t="shared" si="11"/>
        <v>119.557</v>
      </c>
      <c r="E117" s="38">
        <f>E118</f>
        <v>119.557</v>
      </c>
      <c r="F117" s="38"/>
      <c r="G117" s="38"/>
      <c r="H117" s="38"/>
      <c r="I117" s="38"/>
      <c r="J117" s="38"/>
      <c r="K117" s="38"/>
      <c r="L117" s="38"/>
      <c r="M117" s="38"/>
      <c r="N117" s="38"/>
      <c r="O117" s="32"/>
      <c r="P117" s="38">
        <f t="shared" si="12"/>
        <v>119.557</v>
      </c>
    </row>
    <row r="118" spans="1:16" ht="32.25" customHeight="1">
      <c r="A118" s="35" t="s">
        <v>158</v>
      </c>
      <c r="B118" s="33"/>
      <c r="C118" s="54" t="s">
        <v>56</v>
      </c>
      <c r="D118" s="38">
        <f t="shared" si="11"/>
        <v>119.557</v>
      </c>
      <c r="E118" s="38">
        <f>81.209+12.86+5+20.488</f>
        <v>119.557</v>
      </c>
      <c r="F118" s="38"/>
      <c r="G118" s="38"/>
      <c r="H118" s="38"/>
      <c r="I118" s="38"/>
      <c r="J118" s="38"/>
      <c r="K118" s="38"/>
      <c r="L118" s="38"/>
      <c r="M118" s="38"/>
      <c r="N118" s="38"/>
      <c r="O118" s="32"/>
      <c r="P118" s="38">
        <f t="shared" si="12"/>
        <v>119.557</v>
      </c>
    </row>
    <row r="119" spans="1:16" ht="86.25" customHeight="1">
      <c r="A119" s="35" t="s">
        <v>260</v>
      </c>
      <c r="B119" s="36" t="s">
        <v>64</v>
      </c>
      <c r="C119" s="54" t="s">
        <v>283</v>
      </c>
      <c r="D119" s="38">
        <f t="shared" si="11"/>
        <v>551</v>
      </c>
      <c r="E119" s="38">
        <f>516.6+34.4</f>
        <v>551</v>
      </c>
      <c r="F119" s="38"/>
      <c r="G119" s="38"/>
      <c r="H119" s="38"/>
      <c r="I119" s="38"/>
      <c r="J119" s="38"/>
      <c r="K119" s="38"/>
      <c r="L119" s="38"/>
      <c r="M119" s="38"/>
      <c r="N119" s="38"/>
      <c r="O119" s="32"/>
      <c r="P119" s="38">
        <f t="shared" si="12"/>
        <v>551</v>
      </c>
    </row>
    <row r="120" spans="1:16" s="8" customFormat="1" ht="24.75" customHeight="1">
      <c r="A120" s="35"/>
      <c r="B120" s="36"/>
      <c r="C120" s="31" t="s">
        <v>9</v>
      </c>
      <c r="D120" s="41">
        <f>E120+H120</f>
        <v>93264.771</v>
      </c>
      <c r="E120" s="41">
        <f>E69+E77+E85+E91+E102+E103+E104+E107+E110+E114+E117+E119+E101</f>
        <v>93264.771</v>
      </c>
      <c r="F120" s="41">
        <f aca="true" t="shared" si="15" ref="F120:O120">F69+F77+F85+F91+F102+F103+F104+F107+F110+F114+F117+F119</f>
        <v>2520.0299999999997</v>
      </c>
      <c r="G120" s="41">
        <f t="shared" si="15"/>
        <v>209.69200000000004</v>
      </c>
      <c r="H120" s="41">
        <f t="shared" si="15"/>
        <v>0</v>
      </c>
      <c r="I120" s="41">
        <f t="shared" si="15"/>
        <v>228.001</v>
      </c>
      <c r="J120" s="41">
        <f t="shared" si="15"/>
        <v>228.001</v>
      </c>
      <c r="K120" s="41">
        <f t="shared" si="15"/>
        <v>15.5</v>
      </c>
      <c r="L120" s="41">
        <f t="shared" si="15"/>
        <v>0</v>
      </c>
      <c r="M120" s="41">
        <f t="shared" si="15"/>
        <v>0</v>
      </c>
      <c r="N120" s="41">
        <f t="shared" si="15"/>
        <v>0</v>
      </c>
      <c r="O120" s="41">
        <f t="shared" si="15"/>
        <v>0</v>
      </c>
      <c r="P120" s="38">
        <f t="shared" si="12"/>
        <v>93492.772</v>
      </c>
    </row>
    <row r="121" spans="1:16" s="8" customFormat="1" ht="20.25">
      <c r="A121" s="35"/>
      <c r="B121" s="36"/>
      <c r="C121" s="66"/>
      <c r="D121" s="38"/>
      <c r="E121" s="38"/>
      <c r="F121" s="38"/>
      <c r="G121" s="38"/>
      <c r="H121" s="38"/>
      <c r="I121" s="38"/>
      <c r="J121" s="38"/>
      <c r="K121" s="38"/>
      <c r="L121" s="38"/>
      <c r="M121" s="38"/>
      <c r="N121" s="38"/>
      <c r="O121" s="32"/>
      <c r="P121" s="38"/>
    </row>
    <row r="122" spans="1:16" ht="27.75" customHeight="1">
      <c r="A122" s="35" t="s">
        <v>188</v>
      </c>
      <c r="B122" s="36"/>
      <c r="C122" s="71" t="s">
        <v>234</v>
      </c>
      <c r="D122" s="38"/>
      <c r="E122" s="38"/>
      <c r="F122" s="38"/>
      <c r="G122" s="38"/>
      <c r="H122" s="38"/>
      <c r="I122" s="38"/>
      <c r="J122" s="38"/>
      <c r="K122" s="38"/>
      <c r="L122" s="38"/>
      <c r="M122" s="38"/>
      <c r="N122" s="38"/>
      <c r="O122" s="32"/>
      <c r="P122" s="38"/>
    </row>
    <row r="123" spans="1:16" ht="25.5" customHeight="1">
      <c r="A123" s="35" t="s">
        <v>189</v>
      </c>
      <c r="B123" s="36"/>
      <c r="C123" s="71" t="s">
        <v>234</v>
      </c>
      <c r="D123" s="38"/>
      <c r="E123" s="38"/>
      <c r="F123" s="38"/>
      <c r="G123" s="38"/>
      <c r="H123" s="38"/>
      <c r="I123" s="38"/>
      <c r="J123" s="38"/>
      <c r="K123" s="38"/>
      <c r="L123" s="38"/>
      <c r="M123" s="38"/>
      <c r="N123" s="38"/>
      <c r="O123" s="32"/>
      <c r="P123" s="38"/>
    </row>
    <row r="124" spans="1:16" ht="31.5" customHeight="1">
      <c r="A124" s="35" t="s">
        <v>190</v>
      </c>
      <c r="B124" s="65" t="s">
        <v>12</v>
      </c>
      <c r="C124" s="31" t="s">
        <v>11</v>
      </c>
      <c r="D124" s="41">
        <f>H124+E124</f>
        <v>3954.468</v>
      </c>
      <c r="E124" s="41">
        <f>E130+E125+E126+E127+E128</f>
        <v>3954.468</v>
      </c>
      <c r="F124" s="41">
        <f>F130+F125+F126+F127+F128</f>
        <v>2523.556</v>
      </c>
      <c r="G124" s="41">
        <f>G130+G125+G126+G127+G128</f>
        <v>443.84599999999995</v>
      </c>
      <c r="H124" s="41"/>
      <c r="I124" s="41">
        <f aca="true" t="shared" si="16" ref="I124:I130">J124+M124</f>
        <v>83</v>
      </c>
      <c r="J124" s="41">
        <f>K127+J130+J125+J126+J127+J128</f>
        <v>77</v>
      </c>
      <c r="K124" s="41">
        <f>L127+K130+K125+K126+K127+K128</f>
        <v>45.6</v>
      </c>
      <c r="L124" s="41">
        <f>M127+L130+L125+L126+L127+L128</f>
        <v>0</v>
      </c>
      <c r="M124" s="41">
        <f>M130+M125+M126+M127+M128</f>
        <v>6</v>
      </c>
      <c r="N124" s="41">
        <f>N130+N125+N126+N127+N128</f>
        <v>6</v>
      </c>
      <c r="O124" s="41">
        <f>O130+O125+O126+O127+O128</f>
        <v>6</v>
      </c>
      <c r="P124" s="41">
        <f>I124+D124</f>
        <v>4037.468</v>
      </c>
    </row>
    <row r="125" spans="1:16" ht="20.25">
      <c r="A125" s="35" t="s">
        <v>178</v>
      </c>
      <c r="B125" s="36" t="s">
        <v>17</v>
      </c>
      <c r="C125" s="66" t="s">
        <v>13</v>
      </c>
      <c r="D125" s="38">
        <f aca="true" t="shared" si="17" ref="D125:D131">H125+E125</f>
        <v>1576.2770000000003</v>
      </c>
      <c r="E125" s="69">
        <f>1403.25+2.429+26.4+144.198</f>
        <v>1576.2770000000003</v>
      </c>
      <c r="F125" s="38">
        <f>912.8+19.2+92.584</f>
        <v>1024.584</v>
      </c>
      <c r="G125" s="38">
        <f>143.1+8.736</f>
        <v>151.83599999999998</v>
      </c>
      <c r="H125" s="38"/>
      <c r="I125" s="38">
        <f t="shared" si="16"/>
        <v>6</v>
      </c>
      <c r="J125" s="38"/>
      <c r="K125" s="38"/>
      <c r="L125" s="32"/>
      <c r="M125" s="38">
        <f>N125</f>
        <v>6</v>
      </c>
      <c r="N125" s="38">
        <v>6</v>
      </c>
      <c r="O125" s="32">
        <v>6</v>
      </c>
      <c r="P125" s="38">
        <f aca="true" t="shared" si="18" ref="P125:P138">I125+D125</f>
        <v>1582.2770000000003</v>
      </c>
    </row>
    <row r="126" spans="1:16" ht="33" customHeight="1">
      <c r="A126" s="35" t="s">
        <v>179</v>
      </c>
      <c r="B126" s="36" t="s">
        <v>18</v>
      </c>
      <c r="C126" s="66" t="s">
        <v>14</v>
      </c>
      <c r="D126" s="38">
        <f t="shared" si="17"/>
        <v>403.13000000000005</v>
      </c>
      <c r="E126" s="69">
        <f>357.334+1.124+5.8+2.571+36.301</f>
        <v>403.13000000000005</v>
      </c>
      <c r="F126" s="38">
        <f>214.3+3.9+20.455</f>
        <v>238.65500000000003</v>
      </c>
      <c r="G126" s="38">
        <f>60.8+5.677</f>
        <v>66.477</v>
      </c>
      <c r="H126" s="38"/>
      <c r="I126" s="38">
        <f t="shared" si="16"/>
        <v>0</v>
      </c>
      <c r="J126" s="38"/>
      <c r="K126" s="38"/>
      <c r="L126" s="38"/>
      <c r="M126" s="38"/>
      <c r="N126" s="38"/>
      <c r="O126" s="32"/>
      <c r="P126" s="38">
        <f t="shared" si="18"/>
        <v>403.13000000000005</v>
      </c>
    </row>
    <row r="127" spans="1:16" ht="45" customHeight="1">
      <c r="A127" s="35" t="s">
        <v>180</v>
      </c>
      <c r="B127" s="36" t="s">
        <v>20</v>
      </c>
      <c r="C127" s="54" t="s">
        <v>22</v>
      </c>
      <c r="D127" s="38">
        <f t="shared" si="17"/>
        <v>949.459</v>
      </c>
      <c r="E127" s="69">
        <f>794+5.141+30.8+2.571-2.571+119.518</f>
        <v>949.459</v>
      </c>
      <c r="F127" s="38">
        <f>467.9+22.5+77.146</f>
        <v>567.5459999999999</v>
      </c>
      <c r="G127" s="38">
        <f>143.9+12.272</f>
        <v>156.172</v>
      </c>
      <c r="H127" s="38"/>
      <c r="I127" s="38">
        <f t="shared" si="16"/>
        <v>9</v>
      </c>
      <c r="J127" s="38">
        <v>9</v>
      </c>
      <c r="K127" s="38"/>
      <c r="L127" s="38"/>
      <c r="M127" s="38"/>
      <c r="N127" s="38"/>
      <c r="O127" s="32"/>
      <c r="P127" s="38">
        <f t="shared" si="18"/>
        <v>958.459</v>
      </c>
    </row>
    <row r="128" spans="1:16" ht="32.25" customHeight="1">
      <c r="A128" s="35" t="s">
        <v>181</v>
      </c>
      <c r="B128" s="36" t="s">
        <v>0</v>
      </c>
      <c r="C128" s="54" t="s">
        <v>1</v>
      </c>
      <c r="D128" s="38">
        <f t="shared" si="17"/>
        <v>763.12</v>
      </c>
      <c r="E128" s="69">
        <f>685.15+1.296+9+67.674</f>
        <v>763.12</v>
      </c>
      <c r="F128" s="38">
        <f>474.5+6.6+42.662</f>
        <v>523.7620000000001</v>
      </c>
      <c r="G128" s="38">
        <f>36.5+7.479</f>
        <v>43.979</v>
      </c>
      <c r="H128" s="38"/>
      <c r="I128" s="38">
        <f t="shared" si="16"/>
        <v>68</v>
      </c>
      <c r="J128" s="38">
        <v>68</v>
      </c>
      <c r="K128" s="38">
        <v>45.6</v>
      </c>
      <c r="L128" s="38"/>
      <c r="M128" s="38"/>
      <c r="N128" s="38"/>
      <c r="O128" s="32"/>
      <c r="P128" s="38">
        <f t="shared" si="18"/>
        <v>831.12</v>
      </c>
    </row>
    <row r="129" spans="1:16" ht="33" customHeight="1">
      <c r="A129" s="35" t="s">
        <v>261</v>
      </c>
      <c r="B129" s="36" t="s">
        <v>21</v>
      </c>
      <c r="C129" s="54" t="s">
        <v>203</v>
      </c>
      <c r="D129" s="38">
        <f t="shared" si="17"/>
        <v>262.48199999999997</v>
      </c>
      <c r="E129" s="38">
        <f aca="true" t="shared" si="19" ref="E129:L129">E130</f>
        <v>262.48199999999997</v>
      </c>
      <c r="F129" s="38">
        <f t="shared" si="19"/>
        <v>169.00900000000001</v>
      </c>
      <c r="G129" s="38">
        <f t="shared" si="19"/>
        <v>25.382</v>
      </c>
      <c r="H129" s="38"/>
      <c r="I129" s="38">
        <f t="shared" si="16"/>
        <v>0</v>
      </c>
      <c r="J129" s="38">
        <f t="shared" si="19"/>
        <v>0</v>
      </c>
      <c r="K129" s="38">
        <f t="shared" si="19"/>
        <v>0</v>
      </c>
      <c r="L129" s="38">
        <f t="shared" si="19"/>
        <v>0</v>
      </c>
      <c r="M129" s="38">
        <f>M130</f>
        <v>0</v>
      </c>
      <c r="N129" s="38">
        <f>N130</f>
        <v>0</v>
      </c>
      <c r="O129" s="38">
        <f>O130</f>
        <v>0</v>
      </c>
      <c r="P129" s="38">
        <f t="shared" si="18"/>
        <v>262.48199999999997</v>
      </c>
    </row>
    <row r="130" spans="1:16" ht="42" customHeight="1">
      <c r="A130" s="35" t="s">
        <v>262</v>
      </c>
      <c r="B130" s="33"/>
      <c r="C130" s="54" t="s">
        <v>183</v>
      </c>
      <c r="D130" s="38">
        <f t="shared" si="17"/>
        <v>262.48199999999997</v>
      </c>
      <c r="E130" s="69">
        <f>213.43+3.261+10.7+35.091</f>
        <v>262.48199999999997</v>
      </c>
      <c r="F130" s="38">
        <f>135.4+7.8+25.809</f>
        <v>169.00900000000001</v>
      </c>
      <c r="G130" s="38">
        <f>23.6+1.782</f>
        <v>25.382</v>
      </c>
      <c r="H130" s="38"/>
      <c r="I130" s="38">
        <f t="shared" si="16"/>
        <v>0</v>
      </c>
      <c r="J130" s="38"/>
      <c r="K130" s="38"/>
      <c r="L130" s="38"/>
      <c r="M130" s="38"/>
      <c r="N130" s="38"/>
      <c r="O130" s="32"/>
      <c r="P130" s="38">
        <f t="shared" si="18"/>
        <v>262.48199999999997</v>
      </c>
    </row>
    <row r="131" spans="1:16" ht="42" customHeight="1">
      <c r="A131" s="35" t="s">
        <v>331</v>
      </c>
      <c r="B131" s="58" t="s">
        <v>322</v>
      </c>
      <c r="C131" s="37" t="s">
        <v>333</v>
      </c>
      <c r="D131" s="38">
        <f t="shared" si="17"/>
        <v>96.708</v>
      </c>
      <c r="E131" s="69">
        <v>96.708</v>
      </c>
      <c r="F131" s="38"/>
      <c r="G131" s="38"/>
      <c r="H131" s="38"/>
      <c r="I131" s="38"/>
      <c r="J131" s="38"/>
      <c r="K131" s="38"/>
      <c r="L131" s="38"/>
      <c r="M131" s="38"/>
      <c r="N131" s="38"/>
      <c r="O131" s="32"/>
      <c r="P131" s="38">
        <f t="shared" si="18"/>
        <v>96.708</v>
      </c>
    </row>
    <row r="132" spans="1:16" ht="20.25">
      <c r="A132" s="35" t="s">
        <v>265</v>
      </c>
      <c r="B132" s="36" t="s">
        <v>81</v>
      </c>
      <c r="C132" s="37" t="s">
        <v>205</v>
      </c>
      <c r="D132" s="38">
        <f>D133+D134</f>
        <v>1527.829</v>
      </c>
      <c r="E132" s="38">
        <f aca="true" t="shared" si="20" ref="E132:O132">E133+E134</f>
        <v>1497.829</v>
      </c>
      <c r="F132" s="38">
        <f t="shared" si="20"/>
        <v>0</v>
      </c>
      <c r="G132" s="38">
        <f t="shared" si="20"/>
        <v>0</v>
      </c>
      <c r="H132" s="38">
        <f t="shared" si="20"/>
        <v>30</v>
      </c>
      <c r="I132" s="38">
        <f t="shared" si="20"/>
        <v>0</v>
      </c>
      <c r="J132" s="38">
        <f t="shared" si="20"/>
        <v>0</v>
      </c>
      <c r="K132" s="38">
        <f t="shared" si="20"/>
        <v>0</v>
      </c>
      <c r="L132" s="38">
        <f t="shared" si="20"/>
        <v>0</v>
      </c>
      <c r="M132" s="38">
        <f t="shared" si="20"/>
        <v>0</v>
      </c>
      <c r="N132" s="38">
        <f t="shared" si="20"/>
        <v>0</v>
      </c>
      <c r="O132" s="38">
        <f t="shared" si="20"/>
        <v>0</v>
      </c>
      <c r="P132" s="38">
        <f t="shared" si="18"/>
        <v>1527.829</v>
      </c>
    </row>
    <row r="133" spans="1:16" ht="45" customHeight="1">
      <c r="A133" s="35" t="s">
        <v>270</v>
      </c>
      <c r="B133" s="33"/>
      <c r="C133" s="72" t="s">
        <v>245</v>
      </c>
      <c r="D133" s="38">
        <f>E133</f>
        <v>1437.829</v>
      </c>
      <c r="E133" s="38">
        <f>1421+16.829</f>
        <v>1437.829</v>
      </c>
      <c r="F133" s="38"/>
      <c r="G133" s="38"/>
      <c r="H133" s="38"/>
      <c r="I133" s="38"/>
      <c r="J133" s="38"/>
      <c r="K133" s="38"/>
      <c r="L133" s="38"/>
      <c r="M133" s="38"/>
      <c r="N133" s="38"/>
      <c r="O133" s="32"/>
      <c r="P133" s="38">
        <f t="shared" si="18"/>
        <v>1437.829</v>
      </c>
    </row>
    <row r="134" spans="1:23" ht="76.5" customHeight="1">
      <c r="A134" s="35" t="s">
        <v>330</v>
      </c>
      <c r="B134" s="33"/>
      <c r="C134" s="66" t="s">
        <v>306</v>
      </c>
      <c r="D134" s="85">
        <f>D136+D137+D138</f>
        <v>90</v>
      </c>
      <c r="E134" s="85">
        <f aca="true" t="shared" si="21" ref="E134:O134">E136+E137+E138</f>
        <v>60</v>
      </c>
      <c r="F134" s="85">
        <f t="shared" si="21"/>
        <v>0</v>
      </c>
      <c r="G134" s="85">
        <f t="shared" si="21"/>
        <v>0</v>
      </c>
      <c r="H134" s="85">
        <f t="shared" si="21"/>
        <v>30</v>
      </c>
      <c r="I134" s="85">
        <f t="shared" si="21"/>
        <v>0</v>
      </c>
      <c r="J134" s="85">
        <f t="shared" si="21"/>
        <v>0</v>
      </c>
      <c r="K134" s="85">
        <f t="shared" si="21"/>
        <v>0</v>
      </c>
      <c r="L134" s="85">
        <f t="shared" si="21"/>
        <v>0</v>
      </c>
      <c r="M134" s="85">
        <f t="shared" si="21"/>
        <v>0</v>
      </c>
      <c r="N134" s="85">
        <f t="shared" si="21"/>
        <v>0</v>
      </c>
      <c r="O134" s="85">
        <f t="shared" si="21"/>
        <v>0</v>
      </c>
      <c r="P134" s="86">
        <f t="shared" si="18"/>
        <v>90</v>
      </c>
      <c r="Q134" s="81"/>
      <c r="R134" s="81"/>
      <c r="S134" s="27"/>
      <c r="T134" s="82"/>
      <c r="U134" s="27"/>
      <c r="V134" s="82"/>
      <c r="W134" s="82"/>
    </row>
    <row r="135" spans="1:23" ht="30" customHeight="1">
      <c r="A135" s="35"/>
      <c r="B135" s="33"/>
      <c r="C135" s="66" t="s">
        <v>292</v>
      </c>
      <c r="D135" s="66"/>
      <c r="E135" s="74"/>
      <c r="F135" s="74"/>
      <c r="G135" s="74"/>
      <c r="H135" s="74"/>
      <c r="I135" s="33"/>
      <c r="J135" s="33"/>
      <c r="K135" s="33"/>
      <c r="L135" s="33"/>
      <c r="M135" s="33"/>
      <c r="N135" s="33"/>
      <c r="O135" s="33"/>
      <c r="P135" s="38">
        <f t="shared" si="18"/>
        <v>0</v>
      </c>
      <c r="Q135" s="33"/>
      <c r="R135" s="33"/>
      <c r="S135" s="27"/>
      <c r="T135" s="27"/>
      <c r="U135" s="27"/>
      <c r="V135" s="27"/>
      <c r="W135" s="27"/>
    </row>
    <row r="136" spans="1:23" ht="69" customHeight="1">
      <c r="A136" s="35"/>
      <c r="B136" s="33"/>
      <c r="C136" s="83" t="s">
        <v>299</v>
      </c>
      <c r="D136" s="27">
        <f>E136+H136</f>
        <v>30</v>
      </c>
      <c r="E136" s="84"/>
      <c r="F136" s="84"/>
      <c r="G136" s="84"/>
      <c r="H136" s="84">
        <v>30</v>
      </c>
      <c r="I136" s="33"/>
      <c r="J136" s="33"/>
      <c r="K136" s="33"/>
      <c r="L136" s="33"/>
      <c r="M136" s="33"/>
      <c r="N136" s="33"/>
      <c r="O136" s="33"/>
      <c r="P136" s="38">
        <f t="shared" si="18"/>
        <v>30</v>
      </c>
      <c r="Q136" s="33"/>
      <c r="R136" s="33"/>
      <c r="S136" s="27"/>
      <c r="T136" s="27"/>
      <c r="U136" s="27"/>
      <c r="V136" s="27"/>
      <c r="W136" s="27"/>
    </row>
    <row r="137" spans="1:23" ht="106.5" customHeight="1">
      <c r="A137" s="35"/>
      <c r="B137" s="33"/>
      <c r="C137" s="83" t="s">
        <v>300</v>
      </c>
      <c r="D137" s="27">
        <f>E137</f>
        <v>20</v>
      </c>
      <c r="E137" s="84">
        <v>20</v>
      </c>
      <c r="F137" s="84"/>
      <c r="G137" s="84"/>
      <c r="H137" s="84"/>
      <c r="I137" s="33"/>
      <c r="J137" s="33"/>
      <c r="K137" s="33"/>
      <c r="L137" s="33"/>
      <c r="M137" s="33"/>
      <c r="N137" s="33"/>
      <c r="O137" s="33"/>
      <c r="P137" s="38">
        <f t="shared" si="18"/>
        <v>20</v>
      </c>
      <c r="Q137" s="33"/>
      <c r="R137" s="33"/>
      <c r="S137" s="27"/>
      <c r="T137" s="27"/>
      <c r="U137" s="27"/>
      <c r="V137" s="27"/>
      <c r="W137" s="27"/>
    </row>
    <row r="138" spans="1:23" ht="75" customHeight="1">
      <c r="A138" s="35"/>
      <c r="B138" s="33"/>
      <c r="C138" s="83" t="s">
        <v>303</v>
      </c>
      <c r="D138" s="27">
        <f>E138</f>
        <v>40</v>
      </c>
      <c r="E138" s="84">
        <v>40</v>
      </c>
      <c r="F138" s="84"/>
      <c r="G138" s="84"/>
      <c r="H138" s="84"/>
      <c r="I138" s="33"/>
      <c r="J138" s="33"/>
      <c r="K138" s="33"/>
      <c r="L138" s="33"/>
      <c r="M138" s="33"/>
      <c r="N138" s="33"/>
      <c r="O138" s="33"/>
      <c r="P138" s="38">
        <f t="shared" si="18"/>
        <v>40</v>
      </c>
      <c r="Q138" s="33"/>
      <c r="R138" s="33"/>
      <c r="S138" s="27"/>
      <c r="T138" s="27"/>
      <c r="U138" s="27"/>
      <c r="V138" s="27"/>
      <c r="W138" s="27"/>
    </row>
    <row r="139" spans="1:16" ht="20.25">
      <c r="A139" s="35"/>
      <c r="B139" s="36"/>
      <c r="C139" s="64" t="s">
        <v>9</v>
      </c>
      <c r="D139" s="41">
        <f>H139+E139</f>
        <v>5579.005</v>
      </c>
      <c r="E139" s="41">
        <f>E125+E126+E127+E128+E130+E132+E131</f>
        <v>5549.005</v>
      </c>
      <c r="F139" s="41">
        <f>F125+F126+F127+F128+F130+F132+F131</f>
        <v>2523.556</v>
      </c>
      <c r="G139" s="41">
        <f>G125+G126+G127+G128+G130+G132+G131</f>
        <v>443.846</v>
      </c>
      <c r="H139" s="41">
        <f>H125+H126+H127+H128+H130+H132+H131</f>
        <v>30</v>
      </c>
      <c r="I139" s="41">
        <f>I125+I126+I127+I128+I130+I132+I131</f>
        <v>83</v>
      </c>
      <c r="J139" s="41">
        <f>J125+J126+J127+J128+J130+J132+J131</f>
        <v>77</v>
      </c>
      <c r="K139" s="41">
        <f>K125+K126+K127+K128+K130+K132+K131</f>
        <v>45.6</v>
      </c>
      <c r="L139" s="41">
        <f>L125+L126+L127+L128+L130+L132+L131</f>
        <v>0</v>
      </c>
      <c r="M139" s="41">
        <f>M125+M126+M127+M128+M130+M132+M131</f>
        <v>6</v>
      </c>
      <c r="N139" s="41">
        <f>N125+N126+N127+N128+N130+N132+N131</f>
        <v>6</v>
      </c>
      <c r="O139" s="41">
        <f>O125+O126+O127+O128+O130+O132+O131</f>
        <v>6</v>
      </c>
      <c r="P139" s="41">
        <f>I139+D139</f>
        <v>5662.005</v>
      </c>
    </row>
    <row r="140" spans="1:16" ht="14.25" customHeight="1" hidden="1">
      <c r="A140" s="35"/>
      <c r="B140" s="36"/>
      <c r="C140" s="31"/>
      <c r="D140" s="41"/>
      <c r="E140" s="38"/>
      <c r="F140" s="38"/>
      <c r="G140" s="38"/>
      <c r="H140" s="38"/>
      <c r="I140" s="38"/>
      <c r="J140" s="38"/>
      <c r="K140" s="38"/>
      <c r="L140" s="38"/>
      <c r="M140" s="38"/>
      <c r="N140" s="38">
        <f>SUM(D140,G140)</f>
        <v>0</v>
      </c>
      <c r="O140" s="32"/>
      <c r="P140" s="38">
        <f t="shared" si="12"/>
        <v>0</v>
      </c>
    </row>
    <row r="141" spans="1:16" ht="14.25" customHeight="1">
      <c r="A141" s="35"/>
      <c r="B141" s="36"/>
      <c r="C141" s="31"/>
      <c r="D141" s="41"/>
      <c r="E141" s="38"/>
      <c r="F141" s="38"/>
      <c r="G141" s="38"/>
      <c r="H141" s="38"/>
      <c r="I141" s="38"/>
      <c r="J141" s="38"/>
      <c r="K141" s="38"/>
      <c r="L141" s="38"/>
      <c r="M141" s="38"/>
      <c r="N141" s="38"/>
      <c r="O141" s="32"/>
      <c r="P141" s="38"/>
    </row>
    <row r="142" spans="1:16" ht="21.75" customHeight="1">
      <c r="A142" s="35" t="s">
        <v>191</v>
      </c>
      <c r="B142" s="36"/>
      <c r="C142" s="64" t="s">
        <v>2</v>
      </c>
      <c r="D142" s="38"/>
      <c r="E142" s="38"/>
      <c r="F142" s="38"/>
      <c r="G142" s="38"/>
      <c r="H142" s="38"/>
      <c r="I142" s="38"/>
      <c r="J142" s="38"/>
      <c r="K142" s="38"/>
      <c r="L142" s="38"/>
      <c r="M142" s="38"/>
      <c r="N142" s="38"/>
      <c r="O142" s="32"/>
      <c r="P142" s="38"/>
    </row>
    <row r="143" spans="1:16" ht="51" customHeight="1" hidden="1">
      <c r="A143" s="35"/>
      <c r="B143" s="36"/>
      <c r="C143" s="64" t="s">
        <v>2</v>
      </c>
      <c r="D143" s="38"/>
      <c r="E143" s="38"/>
      <c r="F143" s="38"/>
      <c r="G143" s="38"/>
      <c r="H143" s="38"/>
      <c r="I143" s="38"/>
      <c r="J143" s="38"/>
      <c r="K143" s="38"/>
      <c r="L143" s="38"/>
      <c r="M143" s="38"/>
      <c r="N143" s="38">
        <f>SUM(D143,G143)</f>
        <v>0</v>
      </c>
      <c r="O143" s="32"/>
      <c r="P143" s="38">
        <f t="shared" si="12"/>
        <v>0</v>
      </c>
    </row>
    <row r="144" spans="1:16" ht="20.25" customHeight="1">
      <c r="A144" s="35" t="s">
        <v>192</v>
      </c>
      <c r="B144" s="36"/>
      <c r="C144" s="64" t="s">
        <v>2</v>
      </c>
      <c r="D144" s="38"/>
      <c r="E144" s="38"/>
      <c r="F144" s="38"/>
      <c r="G144" s="38"/>
      <c r="H144" s="38"/>
      <c r="I144" s="38"/>
      <c r="J144" s="38"/>
      <c r="K144" s="38"/>
      <c r="L144" s="38"/>
      <c r="M144" s="38"/>
      <c r="N144" s="38"/>
      <c r="O144" s="32"/>
      <c r="P144" s="38"/>
    </row>
    <row r="145" spans="1:16" ht="28.5" customHeight="1">
      <c r="A145" s="35" t="s">
        <v>182</v>
      </c>
      <c r="B145" s="36" t="s">
        <v>85</v>
      </c>
      <c r="C145" s="54" t="s">
        <v>86</v>
      </c>
      <c r="D145" s="38">
        <v>10</v>
      </c>
      <c r="E145" s="38"/>
      <c r="F145" s="38"/>
      <c r="G145" s="38"/>
      <c r="H145" s="38"/>
      <c r="I145" s="38"/>
      <c r="J145" s="38"/>
      <c r="K145" s="38"/>
      <c r="L145" s="38"/>
      <c r="M145" s="38"/>
      <c r="N145" s="38"/>
      <c r="O145" s="32"/>
      <c r="P145" s="38">
        <f t="shared" si="12"/>
        <v>10</v>
      </c>
    </row>
    <row r="146" spans="1:16" ht="34.5" customHeight="1">
      <c r="A146" s="35" t="s">
        <v>204</v>
      </c>
      <c r="B146" s="36" t="s">
        <v>81</v>
      </c>
      <c r="C146" s="37" t="s">
        <v>205</v>
      </c>
      <c r="D146" s="40">
        <f>D147+D148</f>
        <v>147.5</v>
      </c>
      <c r="E146" s="40">
        <f>E147+E148</f>
        <v>40</v>
      </c>
      <c r="F146" s="40">
        <f>F147+F148</f>
        <v>0</v>
      </c>
      <c r="G146" s="40">
        <f>G147+G148</f>
        <v>0</v>
      </c>
      <c r="H146" s="40">
        <f>H147+H148</f>
        <v>107.5</v>
      </c>
      <c r="I146" s="40">
        <f>J146+M146</f>
        <v>503.98</v>
      </c>
      <c r="J146" s="40">
        <f>J147</f>
        <v>0</v>
      </c>
      <c r="K146" s="40">
        <f>K147</f>
        <v>0</v>
      </c>
      <c r="L146" s="40">
        <f>L147</f>
        <v>0</v>
      </c>
      <c r="M146" s="40">
        <f>M147+M148+M149+M150</f>
        <v>503.98</v>
      </c>
      <c r="N146" s="40">
        <f>N147+N148+N149+N150</f>
        <v>503.98</v>
      </c>
      <c r="O146" s="40">
        <f>O147+O148+O149+O150</f>
        <v>0</v>
      </c>
      <c r="P146" s="38">
        <f>I146+D146</f>
        <v>651.48</v>
      </c>
    </row>
    <row r="147" spans="1:16" ht="122.25" customHeight="1">
      <c r="A147" s="35" t="s">
        <v>269</v>
      </c>
      <c r="B147" s="33"/>
      <c r="C147" s="72" t="s">
        <v>246</v>
      </c>
      <c r="D147" s="38">
        <f>E147+H147</f>
        <v>87.5</v>
      </c>
      <c r="E147" s="38"/>
      <c r="F147" s="38"/>
      <c r="G147" s="67"/>
      <c r="H147" s="38">
        <v>87.5</v>
      </c>
      <c r="I147" s="67"/>
      <c r="J147" s="67"/>
      <c r="K147" s="67"/>
      <c r="L147" s="38"/>
      <c r="M147" s="38"/>
      <c r="N147" s="67"/>
      <c r="O147" s="32"/>
      <c r="P147" s="38">
        <f aca="true" t="shared" si="22" ref="P147:P158">I147+D147</f>
        <v>87.5</v>
      </c>
    </row>
    <row r="148" spans="1:16" ht="76.5" customHeight="1">
      <c r="A148" s="35" t="s">
        <v>302</v>
      </c>
      <c r="B148" s="33"/>
      <c r="C148" s="66" t="s">
        <v>297</v>
      </c>
      <c r="D148" s="38">
        <f>E148+H148</f>
        <v>60</v>
      </c>
      <c r="E148" s="38">
        <f>40</f>
        <v>40</v>
      </c>
      <c r="F148" s="38"/>
      <c r="G148" s="67"/>
      <c r="H148" s="38">
        <v>20</v>
      </c>
      <c r="I148" s="67"/>
      <c r="J148" s="67"/>
      <c r="K148" s="67"/>
      <c r="L148" s="38"/>
      <c r="M148" s="38"/>
      <c r="N148" s="67"/>
      <c r="O148" s="32"/>
      <c r="P148" s="38">
        <f t="shared" si="22"/>
        <v>60</v>
      </c>
    </row>
    <row r="149" spans="1:16" ht="103.5" customHeight="1">
      <c r="A149" s="35"/>
      <c r="B149" s="33"/>
      <c r="C149" s="83" t="s">
        <v>301</v>
      </c>
      <c r="D149" s="38">
        <f>E149+H149</f>
        <v>60</v>
      </c>
      <c r="E149" s="38">
        <f>40</f>
        <v>40</v>
      </c>
      <c r="F149" s="38"/>
      <c r="G149" s="67"/>
      <c r="H149" s="38">
        <v>20</v>
      </c>
      <c r="I149" s="67"/>
      <c r="J149" s="67"/>
      <c r="K149" s="67"/>
      <c r="L149" s="38"/>
      <c r="M149" s="38"/>
      <c r="N149" s="67"/>
      <c r="O149" s="32"/>
      <c r="P149" s="38">
        <f t="shared" si="22"/>
        <v>60</v>
      </c>
    </row>
    <row r="150" spans="1:16" ht="153" customHeight="1">
      <c r="A150" s="35" t="s">
        <v>325</v>
      </c>
      <c r="B150" s="33"/>
      <c r="C150" s="83" t="s">
        <v>323</v>
      </c>
      <c r="D150" s="38"/>
      <c r="E150" s="38"/>
      <c r="F150" s="38"/>
      <c r="G150" s="67"/>
      <c r="H150" s="38"/>
      <c r="I150" s="67">
        <f>M150</f>
        <v>503.98</v>
      </c>
      <c r="J150" s="67"/>
      <c r="K150" s="67"/>
      <c r="L150" s="38"/>
      <c r="M150" s="38">
        <v>503.98</v>
      </c>
      <c r="N150" s="38">
        <v>503.98</v>
      </c>
      <c r="O150" s="32"/>
      <c r="P150" s="38">
        <f t="shared" si="22"/>
        <v>503.98</v>
      </c>
    </row>
    <row r="151" spans="1:29" ht="36.75" customHeight="1">
      <c r="A151" s="35"/>
      <c r="B151" s="33"/>
      <c r="C151" s="94" t="s">
        <v>292</v>
      </c>
      <c r="D151" s="94"/>
      <c r="E151" s="95"/>
      <c r="F151" s="95"/>
      <c r="G151" s="95"/>
      <c r="H151" s="95"/>
      <c r="I151" s="96"/>
      <c r="J151" s="96"/>
      <c r="K151" s="96"/>
      <c r="L151" s="96"/>
      <c r="M151" s="96"/>
      <c r="N151" s="96"/>
      <c r="O151" s="96"/>
      <c r="P151" s="38">
        <f t="shared" si="22"/>
        <v>0</v>
      </c>
      <c r="Q151" s="96"/>
      <c r="R151" s="96"/>
      <c r="S151" s="97"/>
      <c r="T151" s="97"/>
      <c r="U151" s="97"/>
      <c r="V151" s="98"/>
      <c r="W151" s="98"/>
      <c r="X151" s="99"/>
      <c r="Y151" s="98"/>
      <c r="Z151" s="98"/>
      <c r="AA151" s="98"/>
      <c r="AB151" s="99"/>
      <c r="AC151" s="99"/>
    </row>
    <row r="152" spans="1:29" ht="51.75" customHeight="1">
      <c r="A152" s="35"/>
      <c r="B152" s="33"/>
      <c r="C152" s="94" t="s">
        <v>326</v>
      </c>
      <c r="D152" s="94"/>
      <c r="E152" s="95"/>
      <c r="F152" s="95"/>
      <c r="G152" s="95"/>
      <c r="H152" s="95"/>
      <c r="I152" s="99">
        <f>J152+M152</f>
        <v>335.739</v>
      </c>
      <c r="J152" s="98"/>
      <c r="K152" s="98"/>
      <c r="L152" s="98"/>
      <c r="M152" s="99">
        <v>335.739</v>
      </c>
      <c r="N152" s="99">
        <v>335.739</v>
      </c>
      <c r="O152" s="96"/>
      <c r="P152" s="38">
        <f t="shared" si="22"/>
        <v>335.739</v>
      </c>
      <c r="Q152" s="96"/>
      <c r="R152" s="96"/>
      <c r="S152" s="97"/>
      <c r="T152" s="97"/>
      <c r="U152" s="97"/>
      <c r="V152" s="98"/>
      <c r="W152" s="98"/>
      <c r="X152" s="99">
        <f>Y152+AB152</f>
        <v>335.739</v>
      </c>
      <c r="Y152" s="98"/>
      <c r="Z152" s="98"/>
      <c r="AA152" s="98"/>
      <c r="AB152" s="99">
        <v>335.739</v>
      </c>
      <c r="AC152" s="99">
        <v>335.739</v>
      </c>
    </row>
    <row r="153" spans="1:29" ht="114" customHeight="1">
      <c r="A153" s="35"/>
      <c r="B153" s="33"/>
      <c r="C153" s="94" t="s">
        <v>327</v>
      </c>
      <c r="D153" s="94"/>
      <c r="E153" s="95"/>
      <c r="F153" s="95"/>
      <c r="G153" s="95"/>
      <c r="H153" s="95"/>
      <c r="I153" s="99">
        <f>J153+M153</f>
        <v>86.241</v>
      </c>
      <c r="J153" s="98"/>
      <c r="K153" s="98"/>
      <c r="L153" s="98"/>
      <c r="M153" s="99">
        <v>86.241</v>
      </c>
      <c r="N153" s="99">
        <v>86.241</v>
      </c>
      <c r="O153" s="96"/>
      <c r="P153" s="38">
        <f t="shared" si="22"/>
        <v>86.241</v>
      </c>
      <c r="Q153" s="96"/>
      <c r="R153" s="96"/>
      <c r="S153" s="97"/>
      <c r="T153" s="97"/>
      <c r="U153" s="97"/>
      <c r="V153" s="98"/>
      <c r="W153" s="98"/>
      <c r="X153" s="99">
        <f>Y153+AB153</f>
        <v>86.241</v>
      </c>
      <c r="Y153" s="98"/>
      <c r="Z153" s="98"/>
      <c r="AA153" s="98"/>
      <c r="AB153" s="99">
        <v>86.241</v>
      </c>
      <c r="AC153" s="99">
        <v>86.241</v>
      </c>
    </row>
    <row r="154" spans="1:29" ht="163.5" customHeight="1">
      <c r="A154" s="35"/>
      <c r="B154" s="33"/>
      <c r="C154" s="94" t="s">
        <v>328</v>
      </c>
      <c r="D154" s="94"/>
      <c r="E154" s="95"/>
      <c r="F154" s="95"/>
      <c r="G154" s="95"/>
      <c r="H154" s="95"/>
      <c r="I154" s="99">
        <f>J154+M154</f>
        <v>82</v>
      </c>
      <c r="J154" s="98"/>
      <c r="K154" s="98"/>
      <c r="L154" s="98"/>
      <c r="M154" s="99">
        <v>82</v>
      </c>
      <c r="N154" s="99">
        <v>82</v>
      </c>
      <c r="O154" s="96"/>
      <c r="P154" s="38">
        <f t="shared" si="22"/>
        <v>82</v>
      </c>
      <c r="Q154" s="96"/>
      <c r="R154" s="96"/>
      <c r="S154" s="97"/>
      <c r="T154" s="97"/>
      <c r="U154" s="97"/>
      <c r="V154" s="98"/>
      <c r="W154" s="98"/>
      <c r="X154" s="99">
        <f>Y154+AB154</f>
        <v>82</v>
      </c>
      <c r="Y154" s="98"/>
      <c r="Z154" s="98"/>
      <c r="AA154" s="98"/>
      <c r="AB154" s="99">
        <v>82</v>
      </c>
      <c r="AC154" s="99">
        <v>82</v>
      </c>
    </row>
    <row r="155" spans="1:16" ht="81.75" customHeight="1">
      <c r="A155" s="35" t="s">
        <v>329</v>
      </c>
      <c r="B155" s="39">
        <v>250388</v>
      </c>
      <c r="C155" s="83" t="s">
        <v>324</v>
      </c>
      <c r="D155" s="79">
        <f>E155</f>
        <v>946.63813</v>
      </c>
      <c r="E155" s="79">
        <v>946.63813</v>
      </c>
      <c r="F155" s="40"/>
      <c r="G155" s="79"/>
      <c r="H155" s="40"/>
      <c r="I155" s="79"/>
      <c r="J155" s="79"/>
      <c r="K155" s="79"/>
      <c r="L155" s="40"/>
      <c r="M155" s="40"/>
      <c r="N155" s="40"/>
      <c r="O155" s="40"/>
      <c r="P155" s="67">
        <f t="shared" si="22"/>
        <v>946.63813</v>
      </c>
    </row>
    <row r="156" spans="1:16" ht="39" customHeight="1">
      <c r="A156" s="39"/>
      <c r="B156" s="36"/>
      <c r="C156" s="73" t="s">
        <v>3</v>
      </c>
      <c r="D156" s="112">
        <f>E156+H156</f>
        <v>1094.13813</v>
      </c>
      <c r="E156" s="112">
        <f>E145+E146+E155</f>
        <v>986.63813</v>
      </c>
      <c r="F156" s="105">
        <f aca="true" t="shared" si="23" ref="F156:O156">F145+F146+F155</f>
        <v>0</v>
      </c>
      <c r="G156" s="105">
        <f t="shared" si="23"/>
        <v>0</v>
      </c>
      <c r="H156" s="105">
        <f t="shared" si="23"/>
        <v>107.5</v>
      </c>
      <c r="I156" s="105">
        <f t="shared" si="23"/>
        <v>503.98</v>
      </c>
      <c r="J156" s="105">
        <f>J145+J146+J155</f>
        <v>0</v>
      </c>
      <c r="K156" s="105">
        <f t="shared" si="23"/>
        <v>0</v>
      </c>
      <c r="L156" s="105">
        <f t="shared" si="23"/>
        <v>0</v>
      </c>
      <c r="M156" s="105">
        <f t="shared" si="23"/>
        <v>503.98</v>
      </c>
      <c r="N156" s="105">
        <f t="shared" si="23"/>
        <v>503.98</v>
      </c>
      <c r="O156" s="105">
        <f t="shared" si="23"/>
        <v>0</v>
      </c>
      <c r="P156" s="109">
        <f>I156+D156</f>
        <v>1598.11813</v>
      </c>
    </row>
    <row r="157" spans="1:16" ht="61.5" customHeight="1" hidden="1">
      <c r="A157" s="39"/>
      <c r="B157" s="36"/>
      <c r="C157" s="75"/>
      <c r="D157" s="107"/>
      <c r="E157" s="107"/>
      <c r="F157" s="107"/>
      <c r="G157" s="107"/>
      <c r="H157" s="107"/>
      <c r="I157" s="107"/>
      <c r="J157" s="107"/>
      <c r="K157" s="107"/>
      <c r="L157" s="107"/>
      <c r="M157" s="107"/>
      <c r="N157" s="107"/>
      <c r="O157" s="108"/>
      <c r="P157" s="107">
        <f t="shared" si="22"/>
        <v>0</v>
      </c>
    </row>
    <row r="158" spans="1:16" ht="42" customHeight="1">
      <c r="A158" s="39"/>
      <c r="B158" s="36"/>
      <c r="C158" s="31" t="s">
        <v>74</v>
      </c>
      <c r="D158" s="109">
        <f>E158+H158+D145</f>
        <v>195349.54322</v>
      </c>
      <c r="E158" s="109">
        <f>E156+E139+E120+E37+E18+E65</f>
        <v>195172.04322</v>
      </c>
      <c r="F158" s="109">
        <f>F156+F139+F120+F37+F18+F65</f>
        <v>45534.84009</v>
      </c>
      <c r="G158" s="106">
        <f>G156+G139+G120+G37+G18+G65</f>
        <v>11976.204</v>
      </c>
      <c r="H158" s="106">
        <f>H156+H139+H120+H37+H18+H65</f>
        <v>167.5</v>
      </c>
      <c r="I158" s="106">
        <f>M158+J158</f>
        <v>2776.025</v>
      </c>
      <c r="J158" s="106">
        <f>J156+J139+J120+J37+J18+J65</f>
        <v>669.596</v>
      </c>
      <c r="K158" s="106">
        <f>K156+K139+K120+K37+K18+K65</f>
        <v>191.1</v>
      </c>
      <c r="L158" s="106">
        <f>L156+L139+L120+L37+L18+L65</f>
        <v>9</v>
      </c>
      <c r="M158" s="106">
        <f>M156+M139+M120+M37+M18+M65</f>
        <v>2106.429</v>
      </c>
      <c r="N158" s="106">
        <f>N156+N139+N120+N37+N18+N65</f>
        <v>2106.429</v>
      </c>
      <c r="O158" s="106">
        <f>O156+O139+O120+O37+O18+O65</f>
        <v>1535.449</v>
      </c>
      <c r="P158" s="109">
        <f t="shared" si="22"/>
        <v>198125.56822</v>
      </c>
    </row>
    <row r="159" spans="1:17" ht="18" customHeight="1">
      <c r="A159" s="39"/>
      <c r="B159" s="36"/>
      <c r="C159" s="66"/>
      <c r="D159" s="100"/>
      <c r="E159" s="100"/>
      <c r="F159" s="100"/>
      <c r="G159" s="100"/>
      <c r="H159" s="38"/>
      <c r="I159" s="38"/>
      <c r="J159" s="38"/>
      <c r="K159" s="38"/>
      <c r="L159" s="38"/>
      <c r="M159" s="38"/>
      <c r="N159" s="38"/>
      <c r="O159" s="32"/>
      <c r="P159" s="33"/>
      <c r="Q159" s="10"/>
    </row>
    <row r="160" spans="1:7" ht="33" hidden="1">
      <c r="A160" s="15"/>
      <c r="B160" s="12"/>
      <c r="C160" s="4"/>
      <c r="D160" s="101"/>
      <c r="E160" s="101"/>
      <c r="F160" s="101"/>
      <c r="G160" s="102"/>
    </row>
    <row r="161" spans="1:14" ht="33" hidden="1">
      <c r="A161" s="15"/>
      <c r="B161" s="12"/>
      <c r="C161" s="6"/>
      <c r="D161" s="103"/>
      <c r="E161" s="103"/>
      <c r="F161" s="103"/>
      <c r="G161" s="104"/>
      <c r="H161" s="7"/>
      <c r="I161" s="7">
        <f>SUM(I16)</f>
        <v>0.595</v>
      </c>
      <c r="J161" s="7">
        <f>SUM(J16)</f>
        <v>0.595</v>
      </c>
      <c r="K161" s="7">
        <f>SUM(K16)</f>
        <v>0</v>
      </c>
      <c r="L161" s="7"/>
      <c r="M161" s="7"/>
      <c r="N161" s="7" t="e">
        <f>SUM(#REF!,G161)</f>
        <v>#REF!</v>
      </c>
    </row>
    <row r="162" spans="1:14" ht="33" hidden="1">
      <c r="A162" s="15"/>
      <c r="B162" s="12"/>
      <c r="C162" s="6"/>
      <c r="D162" s="103"/>
      <c r="E162" s="103"/>
      <c r="F162" s="103"/>
      <c r="G162" s="104"/>
      <c r="H162" s="7"/>
      <c r="I162" s="7" t="e">
        <f>SUM(#REF!)</f>
        <v>#REF!</v>
      </c>
      <c r="J162" s="7" t="e">
        <f>SUM(#REF!)</f>
        <v>#REF!</v>
      </c>
      <c r="K162" s="7" t="e">
        <f>SUM(#REF!)</f>
        <v>#REF!</v>
      </c>
      <c r="L162" s="7"/>
      <c r="M162" s="7"/>
      <c r="N162" s="7" t="e">
        <f>SUM(#REF!,G162)</f>
        <v>#REF!</v>
      </c>
    </row>
    <row r="163" spans="1:14" ht="33" hidden="1">
      <c r="A163" s="15"/>
      <c r="B163" s="12"/>
      <c r="C163" s="6"/>
      <c r="D163" s="103"/>
      <c r="E163" s="103"/>
      <c r="F163" s="103"/>
      <c r="G163" s="104"/>
      <c r="H163" s="7"/>
      <c r="I163" s="7" t="e">
        <f>SUM(I37,#REF!,#REF!,#REF!,#REF!)</f>
        <v>#REF!</v>
      </c>
      <c r="J163" s="7" t="e">
        <f>SUM(J37,#REF!,#REF!,#REF!,#REF!)</f>
        <v>#REF!</v>
      </c>
      <c r="K163" s="7" t="e">
        <f>SUM(K37,#REF!,#REF!,#REF!,#REF!)</f>
        <v>#REF!</v>
      </c>
      <c r="L163" s="7"/>
      <c r="M163" s="7"/>
      <c r="N163" s="7" t="e">
        <f>SUM(#REF!,G163)</f>
        <v>#REF!</v>
      </c>
    </row>
    <row r="164" spans="1:14" ht="33" hidden="1">
      <c r="A164" s="15"/>
      <c r="B164" s="12"/>
      <c r="C164" s="6"/>
      <c r="D164" s="103"/>
      <c r="E164" s="103"/>
      <c r="F164" s="103"/>
      <c r="G164" s="104"/>
      <c r="H164" s="7"/>
      <c r="I164" s="7">
        <f>SUM(I40)</f>
        <v>1370.749</v>
      </c>
      <c r="J164" s="7">
        <f>SUM(J40)</f>
        <v>9.8</v>
      </c>
      <c r="K164" s="7">
        <f>SUM(K40)</f>
        <v>0</v>
      </c>
      <c r="L164" s="7"/>
      <c r="M164" s="7"/>
      <c r="N164" s="7" t="e">
        <f>SUM(#REF!,G164)</f>
        <v>#REF!</v>
      </c>
    </row>
    <row r="165" spans="1:14" ht="33" hidden="1">
      <c r="A165" s="15"/>
      <c r="B165" s="12"/>
      <c r="C165" s="6"/>
      <c r="D165" s="103"/>
      <c r="E165" s="103"/>
      <c r="F165" s="103"/>
      <c r="G165" s="104"/>
      <c r="H165" s="7"/>
      <c r="I165" s="7" t="e">
        <f>SUM(I70:I86,#REF!)</f>
        <v>#REF!</v>
      </c>
      <c r="J165" s="7" t="e">
        <f>SUM(J70:J86,#REF!)</f>
        <v>#REF!</v>
      </c>
      <c r="K165" s="7" t="e">
        <f>SUM(K70:K86,#REF!)</f>
        <v>#REF!</v>
      </c>
      <c r="L165" s="7"/>
      <c r="M165" s="7"/>
      <c r="N165" s="7" t="e">
        <f>SUM(#REF!,G165)</f>
        <v>#REF!</v>
      </c>
    </row>
    <row r="166" spans="1:14" ht="12.75" customHeight="1" hidden="1">
      <c r="A166" s="15"/>
      <c r="B166" s="12"/>
      <c r="C166" s="6"/>
      <c r="D166" s="103"/>
      <c r="E166" s="103"/>
      <c r="F166" s="103"/>
      <c r="G166" s="104"/>
      <c r="H166" s="7"/>
      <c r="I166" s="7" t="e">
        <f>SUM(#REF!)</f>
        <v>#REF!</v>
      </c>
      <c r="J166" s="7" t="e">
        <f>SUM(#REF!)</f>
        <v>#REF!</v>
      </c>
      <c r="K166" s="7" t="e">
        <f>SUM(#REF!)</f>
        <v>#REF!</v>
      </c>
      <c r="L166" s="7"/>
      <c r="M166" s="7"/>
      <c r="N166" s="7" t="e">
        <f>SUM(#REF!,G166)</f>
        <v>#REF!</v>
      </c>
    </row>
    <row r="167" spans="1:14" ht="33" hidden="1">
      <c r="A167" s="15"/>
      <c r="B167" s="12"/>
      <c r="C167" s="6"/>
      <c r="D167" s="103"/>
      <c r="E167" s="103"/>
      <c r="F167" s="103"/>
      <c r="G167" s="104"/>
      <c r="H167" s="7"/>
      <c r="I167" s="7" t="e">
        <f>SUM(#REF!,I124)</f>
        <v>#REF!</v>
      </c>
      <c r="J167" s="7" t="e">
        <f>SUM(#REF!,J124)</f>
        <v>#REF!</v>
      </c>
      <c r="K167" s="7" t="e">
        <f>SUM(#REF!,K124)</f>
        <v>#REF!</v>
      </c>
      <c r="L167" s="7"/>
      <c r="M167" s="7"/>
      <c r="N167" s="7" t="e">
        <f>SUM(#REF!,G167)</f>
        <v>#REF!</v>
      </c>
    </row>
    <row r="168" spans="1:14" ht="33" hidden="1">
      <c r="A168" s="15"/>
      <c r="B168" s="12"/>
      <c r="C168" s="6"/>
      <c r="D168" s="103"/>
      <c r="E168" s="103"/>
      <c r="F168" s="103"/>
      <c r="G168" s="104"/>
      <c r="H168" s="7"/>
      <c r="I168" s="7" t="e">
        <f>SUM(#REF!,#REF!)</f>
        <v>#REF!</v>
      </c>
      <c r="J168" s="7" t="e">
        <f>SUM(#REF!,#REF!)</f>
        <v>#REF!</v>
      </c>
      <c r="K168" s="7" t="e">
        <f>SUM(#REF!,#REF!)</f>
        <v>#REF!</v>
      </c>
      <c r="L168" s="7"/>
      <c r="M168" s="7"/>
      <c r="N168" s="7" t="e">
        <f>SUM(#REF!,G168)</f>
        <v>#REF!</v>
      </c>
    </row>
    <row r="169" spans="1:14" ht="33" hidden="1">
      <c r="A169" s="15"/>
      <c r="B169" s="12"/>
      <c r="C169" s="6"/>
      <c r="D169" s="103"/>
      <c r="E169" s="103"/>
      <c r="F169" s="103"/>
      <c r="G169" s="104"/>
      <c r="H169" s="7"/>
      <c r="I169" s="7" t="e">
        <f>SUM(#REF!)</f>
        <v>#REF!</v>
      </c>
      <c r="J169" s="7" t="e">
        <f>SUM(#REF!)</f>
        <v>#REF!</v>
      </c>
      <c r="K169" s="7" t="e">
        <f>SUM(#REF!)</f>
        <v>#REF!</v>
      </c>
      <c r="L169" s="7"/>
      <c r="M169" s="7"/>
      <c r="N169" s="7" t="e">
        <f>SUM(#REF!,G169)</f>
        <v>#REF!</v>
      </c>
    </row>
    <row r="170" spans="1:14" ht="33" hidden="1">
      <c r="A170" s="15"/>
      <c r="B170" s="12"/>
      <c r="C170" s="6"/>
      <c r="D170" s="103"/>
      <c r="E170" s="103"/>
      <c r="F170" s="103"/>
      <c r="G170" s="104"/>
      <c r="H170" s="7"/>
      <c r="I170" s="7" t="e">
        <f>SUM(#REF!,#REF!,#REF!,#REF!,#REF!,#REF!,#REF!,#REF!,#REF!,#REF!,#REF!)</f>
        <v>#REF!</v>
      </c>
      <c r="J170" s="7" t="e">
        <f>SUM(#REF!,#REF!,#REF!,#REF!,#REF!,#REF!,#REF!,#REF!,#REF!,#REF!,#REF!)</f>
        <v>#REF!</v>
      </c>
      <c r="K170" s="7" t="e">
        <f>SUM(#REF!,#REF!,#REF!,#REF!,#REF!,#REF!,#REF!,#REF!,#REF!,#REF!,#REF!)</f>
        <v>#REF!</v>
      </c>
      <c r="L170" s="7"/>
      <c r="M170" s="7"/>
      <c r="N170" s="7" t="e">
        <f>SUM(#REF!,G170)</f>
        <v>#REF!</v>
      </c>
    </row>
    <row r="171" spans="1:14" ht="33" hidden="1">
      <c r="A171" s="15"/>
      <c r="B171" s="12"/>
      <c r="C171" s="6"/>
      <c r="D171" s="103"/>
      <c r="E171" s="103"/>
      <c r="F171" s="103"/>
      <c r="G171" s="104"/>
      <c r="H171" s="7"/>
      <c r="I171" s="7" t="e">
        <f>SUM(#REF!)</f>
        <v>#REF!</v>
      </c>
      <c r="J171" s="7" t="e">
        <f>SUM(#REF!)</f>
        <v>#REF!</v>
      </c>
      <c r="K171" s="7" t="e">
        <f>SUM(#REF!)</f>
        <v>#REF!</v>
      </c>
      <c r="L171" s="7"/>
      <c r="M171" s="7"/>
      <c r="N171" s="7" t="e">
        <f>SUM(#REF!,G171)</f>
        <v>#REF!</v>
      </c>
    </row>
    <row r="172" spans="1:14" ht="33" hidden="1">
      <c r="A172" s="15"/>
      <c r="B172" s="12"/>
      <c r="C172" s="6"/>
      <c r="D172" s="103"/>
      <c r="E172" s="103"/>
      <c r="F172" s="103"/>
      <c r="G172" s="104"/>
      <c r="H172" s="7"/>
      <c r="I172" s="7" t="e">
        <f>SUM(#REF!,#REF!,#REF!,#REF!,#REF!,#REF!)</f>
        <v>#REF!</v>
      </c>
      <c r="J172" s="7" t="e">
        <f>SUM(#REF!,#REF!,#REF!,#REF!,#REF!,#REF!)</f>
        <v>#REF!</v>
      </c>
      <c r="K172" s="7" t="e">
        <f>SUM(#REF!,#REF!,#REF!,#REF!,#REF!,#REF!)</f>
        <v>#REF!</v>
      </c>
      <c r="L172" s="7"/>
      <c r="M172" s="7"/>
      <c r="N172" s="7" t="e">
        <f>SUM(#REF!,G172)</f>
        <v>#REF!</v>
      </c>
    </row>
    <row r="173" spans="1:14" ht="33" hidden="1">
      <c r="A173" s="15"/>
      <c r="B173" s="12"/>
      <c r="C173" s="6"/>
      <c r="D173" s="103"/>
      <c r="E173" s="103"/>
      <c r="F173" s="103"/>
      <c r="G173" s="104"/>
      <c r="H173" s="7"/>
      <c r="I173" s="7" t="e">
        <f>SUM(#REF!,#REF!)</f>
        <v>#REF!</v>
      </c>
      <c r="J173" s="7" t="e">
        <f>SUM(#REF!,#REF!)</f>
        <v>#REF!</v>
      </c>
      <c r="K173" s="7" t="e">
        <f>SUM(#REF!,#REF!)</f>
        <v>#REF!</v>
      </c>
      <c r="L173" s="7"/>
      <c r="M173" s="7"/>
      <c r="N173" s="7" t="e">
        <f>SUM(#REF!,G173)</f>
        <v>#REF!</v>
      </c>
    </row>
    <row r="174" spans="1:14" ht="33" hidden="1">
      <c r="A174" s="15"/>
      <c r="B174" s="12"/>
      <c r="C174" s="6"/>
      <c r="D174" s="103"/>
      <c r="E174" s="103"/>
      <c r="F174" s="103"/>
      <c r="G174" s="104"/>
      <c r="H174" s="7"/>
      <c r="I174" s="7" t="e">
        <f>SUM(#REF!)</f>
        <v>#REF!</v>
      </c>
      <c r="J174" s="7" t="e">
        <f>SUM(#REF!)</f>
        <v>#REF!</v>
      </c>
      <c r="K174" s="7" t="e">
        <f>SUM(#REF!)</f>
        <v>#REF!</v>
      </c>
      <c r="L174" s="7"/>
      <c r="M174" s="7"/>
      <c r="N174" s="7" t="e">
        <f>SUM(#REF!,G174)</f>
        <v>#REF!</v>
      </c>
    </row>
    <row r="175" spans="1:14" ht="33" hidden="1">
      <c r="A175" s="15"/>
      <c r="B175" s="16"/>
      <c r="C175" s="6"/>
      <c r="D175" s="103"/>
      <c r="E175" s="103"/>
      <c r="F175" s="103"/>
      <c r="G175" s="104"/>
      <c r="H175" s="7"/>
      <c r="I175" s="7" t="e">
        <f>SUM(#REF!,#REF!,#REF!,#REF!,#REF!)</f>
        <v>#REF!</v>
      </c>
      <c r="J175" s="7" t="e">
        <f>SUM(#REF!,#REF!,#REF!,#REF!,#REF!)</f>
        <v>#REF!</v>
      </c>
      <c r="K175" s="7" t="e">
        <f>SUM(#REF!,#REF!,#REF!,#REF!,#REF!)</f>
        <v>#REF!</v>
      </c>
      <c r="L175" s="7"/>
      <c r="M175" s="7"/>
      <c r="N175" s="7" t="e">
        <f>SUM(#REF!,G175)</f>
        <v>#REF!</v>
      </c>
    </row>
    <row r="176" spans="1:14" ht="33" hidden="1">
      <c r="A176" s="15"/>
      <c r="B176" s="16"/>
      <c r="C176" s="6"/>
      <c r="D176" s="103"/>
      <c r="E176" s="103"/>
      <c r="F176" s="103"/>
      <c r="G176" s="104"/>
      <c r="H176" s="7"/>
      <c r="I176" s="7" t="e">
        <f>SUM(#REF!,#REF!,#REF!,#REF!,#REF!,I143)</f>
        <v>#REF!</v>
      </c>
      <c r="J176" s="7" t="e">
        <f>SUM(#REF!,#REF!,#REF!,#REF!,#REF!,J143)</f>
        <v>#REF!</v>
      </c>
      <c r="K176" s="7" t="e">
        <f>SUM(#REF!,#REF!,#REF!,#REF!,#REF!,K143)</f>
        <v>#REF!</v>
      </c>
      <c r="L176" s="7"/>
      <c r="M176" s="7"/>
      <c r="N176" s="7" t="e">
        <f>SUM(#REF!,G176)</f>
        <v>#REF!</v>
      </c>
    </row>
    <row r="177" spans="1:14" ht="20.25" customHeight="1" hidden="1">
      <c r="A177" s="15"/>
      <c r="B177" s="16"/>
      <c r="C177" s="6"/>
      <c r="D177" s="103"/>
      <c r="E177" s="103"/>
      <c r="F177" s="103"/>
      <c r="G177" s="104"/>
      <c r="H177" s="7"/>
      <c r="I177" s="7" t="e">
        <f>SUM(#REF!)</f>
        <v>#REF!</v>
      </c>
      <c r="J177" s="7" t="e">
        <f>SUM(#REF!)</f>
        <v>#REF!</v>
      </c>
      <c r="K177" s="7" t="e">
        <f>SUM(#REF!)</f>
        <v>#REF!</v>
      </c>
      <c r="L177" s="7"/>
      <c r="M177" s="7"/>
      <c r="N177" s="7" t="e">
        <f>SUM(#REF!,G177)</f>
        <v>#REF!</v>
      </c>
    </row>
    <row r="178" spans="1:14" ht="21" customHeight="1" hidden="1">
      <c r="A178" s="15"/>
      <c r="B178" s="16"/>
      <c r="C178" s="6"/>
      <c r="D178" s="103"/>
      <c r="E178" s="103"/>
      <c r="F178" s="103"/>
      <c r="G178" s="104"/>
      <c r="H178" s="7"/>
      <c r="I178" s="7" t="e">
        <f>SUM(#REF!,#REF!)</f>
        <v>#REF!</v>
      </c>
      <c r="J178" s="7" t="e">
        <f>SUM(#REF!,#REF!)</f>
        <v>#REF!</v>
      </c>
      <c r="K178" s="7" t="e">
        <f>SUM(#REF!,#REF!)</f>
        <v>#REF!</v>
      </c>
      <c r="L178" s="7"/>
      <c r="M178" s="7"/>
      <c r="N178" s="7" t="e">
        <f>SUM(#REF!,G178)</f>
        <v>#REF!</v>
      </c>
    </row>
    <row r="179" spans="1:14" ht="24.75" customHeight="1" hidden="1">
      <c r="A179" s="15"/>
      <c r="B179" s="16"/>
      <c r="C179" s="6"/>
      <c r="D179" s="103"/>
      <c r="E179" s="103"/>
      <c r="F179" s="103"/>
      <c r="G179" s="104"/>
      <c r="H179" s="7"/>
      <c r="I179" s="7" t="e">
        <f>SUM(#REF!,#REF!)</f>
        <v>#REF!</v>
      </c>
      <c r="J179" s="7" t="e">
        <f>SUM(#REF!,#REF!)</f>
        <v>#REF!</v>
      </c>
      <c r="K179" s="7" t="e">
        <f>SUM(#REF!,#REF!)</f>
        <v>#REF!</v>
      </c>
      <c r="L179" s="7"/>
      <c r="M179" s="7"/>
      <c r="N179" s="7" t="e">
        <f>SUM(#REF!,G179)</f>
        <v>#REF!</v>
      </c>
    </row>
    <row r="180" spans="1:14" ht="24.75" customHeight="1" hidden="1">
      <c r="A180" s="15"/>
      <c r="B180" s="16"/>
      <c r="C180" s="6"/>
      <c r="D180" s="103"/>
      <c r="E180" s="103"/>
      <c r="F180" s="103"/>
      <c r="G180" s="104"/>
      <c r="H180" s="7"/>
      <c r="I180" s="7"/>
      <c r="J180" s="7"/>
      <c r="K180" s="7"/>
      <c r="L180" s="7"/>
      <c r="M180" s="7"/>
      <c r="N180" s="7" t="e">
        <f>SUM(#REF!,G180)</f>
        <v>#REF!</v>
      </c>
    </row>
    <row r="181" spans="1:14" ht="19.5" customHeight="1" hidden="1">
      <c r="A181" s="15"/>
      <c r="B181" s="16"/>
      <c r="C181" s="6"/>
      <c r="D181" s="103"/>
      <c r="E181" s="103"/>
      <c r="F181" s="103"/>
      <c r="G181" s="104"/>
      <c r="H181" s="7"/>
      <c r="I181" s="7" t="e">
        <f>SUM(I161:I179)</f>
        <v>#REF!</v>
      </c>
      <c r="J181" s="7" t="e">
        <f>SUM(J161:J179)</f>
        <v>#REF!</v>
      </c>
      <c r="K181" s="7" t="e">
        <f>SUM(K161:K179)</f>
        <v>#REF!</v>
      </c>
      <c r="L181" s="7"/>
      <c r="M181" s="7"/>
      <c r="N181" s="7" t="e">
        <f>SUM(#REF!,G181)</f>
        <v>#REF!</v>
      </c>
    </row>
    <row r="182" spans="1:14" ht="51" customHeight="1">
      <c r="A182" s="15"/>
      <c r="B182" s="16"/>
      <c r="C182" s="110" t="s">
        <v>334</v>
      </c>
      <c r="D182" s="9"/>
      <c r="E182" s="9"/>
      <c r="F182" s="9"/>
      <c r="G182" s="111" t="s">
        <v>335</v>
      </c>
      <c r="H182" s="7"/>
      <c r="I182" s="7"/>
      <c r="J182" s="7"/>
      <c r="K182" s="7"/>
      <c r="L182" s="7"/>
      <c r="M182" s="7"/>
      <c r="N182" s="7"/>
    </row>
    <row r="183" spans="1:6" ht="15.75">
      <c r="A183" s="15"/>
      <c r="B183" s="16"/>
      <c r="C183" s="5"/>
      <c r="D183" s="10"/>
      <c r="E183" s="10"/>
      <c r="F183" s="10"/>
    </row>
    <row r="184" spans="1:15" ht="15.75">
      <c r="A184" s="15"/>
      <c r="B184" s="16"/>
      <c r="C184" s="5"/>
      <c r="D184" s="10"/>
      <c r="E184" s="10"/>
      <c r="F184" s="10"/>
      <c r="N184" s="10"/>
      <c r="O184" s="13"/>
    </row>
    <row r="185" spans="1:6" ht="15.75">
      <c r="A185" s="15"/>
      <c r="B185" s="16"/>
      <c r="C185" s="5"/>
      <c r="D185" s="10"/>
      <c r="E185" s="10"/>
      <c r="F185" s="10"/>
    </row>
    <row r="186" spans="1:6" ht="15.75">
      <c r="A186" s="15"/>
      <c r="B186" s="16"/>
      <c r="C186" s="5"/>
      <c r="D186" s="10"/>
      <c r="E186" s="10"/>
      <c r="F186" s="10"/>
    </row>
    <row r="187" spans="1:6" ht="15.75">
      <c r="A187" s="15"/>
      <c r="B187" s="16"/>
      <c r="C187" s="5"/>
      <c r="D187" s="10"/>
      <c r="E187" s="10"/>
      <c r="F187" s="10"/>
    </row>
    <row r="188" spans="1:6" ht="15.75">
      <c r="A188" s="15"/>
      <c r="B188" s="16"/>
      <c r="C188" s="5"/>
      <c r="D188" s="10"/>
      <c r="E188" s="10"/>
      <c r="F188" s="10"/>
    </row>
    <row r="189" spans="1:6" ht="15.75">
      <c r="A189" s="15"/>
      <c r="B189" s="16"/>
      <c r="C189" s="5"/>
      <c r="D189" s="10"/>
      <c r="E189" s="10"/>
      <c r="F189" s="10"/>
    </row>
    <row r="190" spans="1:6" ht="15.75">
      <c r="A190" s="15"/>
      <c r="B190" s="16"/>
      <c r="C190" s="5"/>
      <c r="D190" s="10"/>
      <c r="E190" s="10"/>
      <c r="F190" s="10"/>
    </row>
    <row r="191" spans="1:6" ht="15.75">
      <c r="A191" s="15"/>
      <c r="B191" s="16"/>
      <c r="C191" s="5"/>
      <c r="D191" s="10"/>
      <c r="E191" s="10"/>
      <c r="F191" s="10"/>
    </row>
    <row r="192" spans="1:6" ht="15.75">
      <c r="A192" s="15"/>
      <c r="B192" s="16"/>
      <c r="C192" s="5"/>
      <c r="D192" s="10"/>
      <c r="E192" s="10"/>
      <c r="F192" s="10"/>
    </row>
    <row r="193" spans="1:6" ht="15.75">
      <c r="A193" s="15"/>
      <c r="B193" s="16"/>
      <c r="C193" s="5"/>
      <c r="D193" s="10"/>
      <c r="E193" s="10"/>
      <c r="F193" s="10"/>
    </row>
    <row r="194" spans="1:6" ht="15.75">
      <c r="A194" s="15"/>
      <c r="B194" s="16"/>
      <c r="C194" s="5"/>
      <c r="D194" s="10"/>
      <c r="E194" s="10"/>
      <c r="F194" s="10"/>
    </row>
    <row r="195" spans="1:6" ht="15.75">
      <c r="A195" s="15"/>
      <c r="B195" s="16"/>
      <c r="C195" s="5"/>
      <c r="D195" s="10"/>
      <c r="E195" s="10"/>
      <c r="F195" s="10"/>
    </row>
    <row r="196" spans="1:6" ht="15.75">
      <c r="A196" s="15"/>
      <c r="B196" s="16"/>
      <c r="C196" s="5"/>
      <c r="D196" s="10"/>
      <c r="E196" s="10"/>
      <c r="F196" s="10"/>
    </row>
    <row r="197" spans="1:6" ht="15.75">
      <c r="A197" s="15"/>
      <c r="B197" s="16"/>
      <c r="C197" s="5"/>
      <c r="D197" s="10"/>
      <c r="E197" s="10"/>
      <c r="F197" s="10"/>
    </row>
    <row r="198" spans="1:6" ht="15.75">
      <c r="A198" s="15"/>
      <c r="B198" s="16"/>
      <c r="C198" s="5"/>
      <c r="D198" s="10"/>
      <c r="E198" s="10"/>
      <c r="F198" s="10"/>
    </row>
    <row r="199" spans="1:6" ht="15.75">
      <c r="A199" s="15"/>
      <c r="B199" s="16"/>
      <c r="C199" s="5"/>
      <c r="D199" s="10"/>
      <c r="E199" s="10"/>
      <c r="F199" s="10"/>
    </row>
    <row r="200" spans="1:6" ht="15.75">
      <c r="A200" s="15"/>
      <c r="B200" s="16"/>
      <c r="C200" s="5"/>
      <c r="D200" s="10"/>
      <c r="E200" s="10"/>
      <c r="F200" s="10"/>
    </row>
    <row r="201" spans="1:6" ht="15.75">
      <c r="A201" s="15"/>
      <c r="B201" s="16"/>
      <c r="C201" s="5"/>
      <c r="D201" s="10"/>
      <c r="E201" s="10"/>
      <c r="F201" s="10"/>
    </row>
    <row r="202" spans="1:6" ht="15.75">
      <c r="A202" s="15"/>
      <c r="B202" s="16"/>
      <c r="C202" s="5"/>
      <c r="D202" s="10"/>
      <c r="E202" s="10"/>
      <c r="F202" s="10"/>
    </row>
    <row r="203" spans="1:6" ht="15.75">
      <c r="A203" s="15"/>
      <c r="B203" s="16"/>
      <c r="C203" s="5"/>
      <c r="D203" s="10"/>
      <c r="E203" s="10"/>
      <c r="F203" s="10"/>
    </row>
    <row r="204" spans="1:6" ht="15.75">
      <c r="A204" s="15"/>
      <c r="B204" s="16"/>
      <c r="C204" s="5"/>
      <c r="D204" s="10"/>
      <c r="E204" s="10"/>
      <c r="F204" s="10"/>
    </row>
    <row r="205" spans="1:6" ht="15.75">
      <c r="A205" s="15"/>
      <c r="B205" s="16"/>
      <c r="C205" s="5"/>
      <c r="D205" s="10"/>
      <c r="E205" s="10"/>
      <c r="F205" s="10"/>
    </row>
    <row r="206" spans="1:6" ht="15.75">
      <c r="A206" s="15"/>
      <c r="B206" s="16"/>
      <c r="C206" s="5"/>
      <c r="D206" s="10"/>
      <c r="E206" s="10"/>
      <c r="F206" s="10"/>
    </row>
    <row r="207" spans="1:6" ht="15.75">
      <c r="A207" s="15"/>
      <c r="B207" s="16"/>
      <c r="C207" s="5"/>
      <c r="D207" s="10"/>
      <c r="E207" s="10"/>
      <c r="F207" s="10"/>
    </row>
    <row r="208" spans="1:6" ht="15.75">
      <c r="A208" s="15"/>
      <c r="B208" s="16"/>
      <c r="C208" s="5"/>
      <c r="D208" s="10"/>
      <c r="E208" s="10"/>
      <c r="F208" s="10"/>
    </row>
    <row r="209" spans="1:6" ht="15.75">
      <c r="A209" s="15"/>
      <c r="B209" s="16"/>
      <c r="C209" s="5"/>
      <c r="D209" s="10"/>
      <c r="E209" s="10"/>
      <c r="F209" s="10"/>
    </row>
    <row r="210" spans="1:6" ht="15.75">
      <c r="A210" s="15"/>
      <c r="B210" s="16"/>
      <c r="C210" s="5"/>
      <c r="D210" s="10"/>
      <c r="E210" s="10"/>
      <c r="F210" s="10"/>
    </row>
    <row r="211" spans="1:6" ht="15.75">
      <c r="A211" s="15"/>
      <c r="B211" s="16"/>
      <c r="C211" s="5"/>
      <c r="D211" s="10"/>
      <c r="E211" s="10"/>
      <c r="F211" s="10"/>
    </row>
    <row r="212" spans="1:6" ht="15.75">
      <c r="A212" s="15"/>
      <c r="B212" s="16"/>
      <c r="C212" s="5"/>
      <c r="D212" s="10"/>
      <c r="E212" s="10"/>
      <c r="F212" s="10"/>
    </row>
    <row r="213" spans="1:6" ht="15.75">
      <c r="A213" s="15"/>
      <c r="B213" s="16"/>
      <c r="C213" s="5"/>
      <c r="D213" s="10"/>
      <c r="E213" s="10"/>
      <c r="F213" s="10"/>
    </row>
    <row r="214" spans="1:6" ht="15.75">
      <c r="A214" s="15"/>
      <c r="B214" s="16"/>
      <c r="C214" s="5"/>
      <c r="D214" s="10"/>
      <c r="E214" s="10"/>
      <c r="F214" s="10"/>
    </row>
    <row r="215" spans="1:6" ht="15.75">
      <c r="A215" s="15"/>
      <c r="B215" s="16"/>
      <c r="C215" s="5"/>
      <c r="D215" s="10"/>
      <c r="E215" s="10"/>
      <c r="F215" s="10"/>
    </row>
    <row r="216" spans="1:6" ht="15.75">
      <c r="A216" s="15"/>
      <c r="B216" s="16"/>
      <c r="C216" s="5"/>
      <c r="D216" s="10"/>
      <c r="E216" s="10"/>
      <c r="F216" s="10"/>
    </row>
    <row r="217" spans="1:6" ht="15.75">
      <c r="A217" s="15"/>
      <c r="B217" s="16"/>
      <c r="C217" s="5"/>
      <c r="D217" s="10"/>
      <c r="E217" s="10"/>
      <c r="F217" s="10"/>
    </row>
    <row r="218" spans="1:6" ht="15.75">
      <c r="A218" s="15"/>
      <c r="B218" s="16"/>
      <c r="C218" s="5"/>
      <c r="D218" s="10"/>
      <c r="E218" s="10"/>
      <c r="F218" s="10"/>
    </row>
    <row r="219" spans="1:6" ht="15.75">
      <c r="A219" s="15"/>
      <c r="B219" s="16"/>
      <c r="C219" s="5"/>
      <c r="D219" s="10"/>
      <c r="E219" s="10"/>
      <c r="F219" s="10"/>
    </row>
    <row r="220" spans="1:6" ht="15.75">
      <c r="A220" s="15"/>
      <c r="B220" s="16"/>
      <c r="C220" s="5"/>
      <c r="D220" s="10"/>
      <c r="E220" s="10"/>
      <c r="F220" s="10"/>
    </row>
    <row r="221" spans="1:6" ht="15.75">
      <c r="A221" s="15"/>
      <c r="B221" s="16"/>
      <c r="C221" s="5"/>
      <c r="D221" s="10"/>
      <c r="E221" s="10"/>
      <c r="F221" s="10"/>
    </row>
    <row r="222" spans="1:6" ht="15.75">
      <c r="A222" s="15"/>
      <c r="B222" s="16"/>
      <c r="C222" s="5"/>
      <c r="D222" s="10"/>
      <c r="E222" s="10"/>
      <c r="F222" s="10"/>
    </row>
    <row r="223" spans="1:6" ht="15.75">
      <c r="A223" s="15"/>
      <c r="B223" s="16"/>
      <c r="C223" s="5"/>
      <c r="D223" s="10"/>
      <c r="E223" s="10"/>
      <c r="F223" s="10"/>
    </row>
    <row r="224" spans="1:6" ht="15.75">
      <c r="A224" s="15"/>
      <c r="B224" s="16"/>
      <c r="C224" s="5"/>
      <c r="D224" s="10"/>
      <c r="E224" s="10"/>
      <c r="F224" s="10"/>
    </row>
    <row r="225" spans="1:6" ht="15.75">
      <c r="A225" s="15"/>
      <c r="B225" s="16"/>
      <c r="C225" s="5"/>
      <c r="D225" s="10"/>
      <c r="E225" s="10"/>
      <c r="F225" s="10"/>
    </row>
    <row r="226" spans="1:6" ht="15.75">
      <c r="A226" s="15"/>
      <c r="B226" s="16"/>
      <c r="C226" s="5"/>
      <c r="D226" s="10"/>
      <c r="E226" s="10"/>
      <c r="F226" s="10"/>
    </row>
    <row r="227" spans="1:6" ht="15.75">
      <c r="A227" s="15"/>
      <c r="B227" s="16"/>
      <c r="C227" s="5"/>
      <c r="D227" s="10"/>
      <c r="E227" s="10"/>
      <c r="F227" s="10"/>
    </row>
    <row r="228" spans="1:6" ht="15.75">
      <c r="A228" s="15"/>
      <c r="B228" s="16"/>
      <c r="C228" s="5"/>
      <c r="D228" s="10"/>
      <c r="E228" s="10"/>
      <c r="F228" s="10"/>
    </row>
    <row r="229" spans="1:6" ht="15.75">
      <c r="A229" s="15"/>
      <c r="B229" s="16"/>
      <c r="C229" s="5"/>
      <c r="D229" s="10"/>
      <c r="E229" s="10"/>
      <c r="F229" s="10"/>
    </row>
    <row r="230" spans="1:6" ht="15.75">
      <c r="A230" s="15"/>
      <c r="B230" s="16"/>
      <c r="C230" s="5"/>
      <c r="D230" s="10"/>
      <c r="E230" s="10"/>
      <c r="F230" s="10"/>
    </row>
    <row r="231" spans="1:6" ht="15.75">
      <c r="A231" s="15"/>
      <c r="B231" s="16"/>
      <c r="C231" s="5"/>
      <c r="D231" s="10"/>
      <c r="E231" s="10"/>
      <c r="F231" s="10"/>
    </row>
    <row r="232" spans="1:6" ht="15.75">
      <c r="A232" s="15"/>
      <c r="B232" s="16"/>
      <c r="C232" s="5"/>
      <c r="D232" s="10"/>
      <c r="E232" s="10"/>
      <c r="F232" s="10"/>
    </row>
    <row r="233" spans="1:6" ht="15.75">
      <c r="A233" s="15"/>
      <c r="B233" s="16"/>
      <c r="C233" s="5"/>
      <c r="D233" s="10"/>
      <c r="E233" s="10"/>
      <c r="F233" s="10"/>
    </row>
    <row r="234" spans="1:6" ht="15.75">
      <c r="A234" s="15"/>
      <c r="B234" s="16"/>
      <c r="C234" s="5"/>
      <c r="D234" s="10"/>
      <c r="E234" s="10"/>
      <c r="F234" s="10"/>
    </row>
    <row r="235" spans="1:6" ht="15.75">
      <c r="A235" s="15"/>
      <c r="B235" s="16"/>
      <c r="C235" s="5"/>
      <c r="D235" s="10"/>
      <c r="E235" s="10"/>
      <c r="F235" s="10"/>
    </row>
    <row r="236" spans="1:6" ht="15.75">
      <c r="A236" s="15"/>
      <c r="B236" s="16"/>
      <c r="C236" s="5"/>
      <c r="D236" s="10"/>
      <c r="E236" s="10"/>
      <c r="F236" s="10"/>
    </row>
    <row r="237" spans="1:6" ht="15.75">
      <c r="A237" s="15"/>
      <c r="B237" s="16"/>
      <c r="C237" s="5"/>
      <c r="D237" s="10"/>
      <c r="E237" s="10"/>
      <c r="F237" s="10"/>
    </row>
    <row r="238" spans="1:6" ht="15.75">
      <c r="A238" s="15"/>
      <c r="B238" s="16"/>
      <c r="C238" s="5"/>
      <c r="D238" s="10"/>
      <c r="E238" s="10"/>
      <c r="F238" s="10"/>
    </row>
    <row r="239" spans="1:6" ht="15.75">
      <c r="A239" s="15"/>
      <c r="B239" s="16"/>
      <c r="C239" s="5"/>
      <c r="D239" s="10"/>
      <c r="E239" s="10"/>
      <c r="F239" s="10"/>
    </row>
    <row r="240" spans="1:6" ht="15.75">
      <c r="A240" s="15"/>
      <c r="B240" s="16"/>
      <c r="C240" s="5"/>
      <c r="D240" s="10"/>
      <c r="E240" s="10"/>
      <c r="F240" s="10"/>
    </row>
    <row r="241" spans="1:6" ht="15.75">
      <c r="A241" s="15"/>
      <c r="B241" s="16"/>
      <c r="C241" s="5"/>
      <c r="D241" s="10"/>
      <c r="E241" s="10"/>
      <c r="F241" s="10"/>
    </row>
    <row r="242" spans="1:6" ht="15.75">
      <c r="A242" s="15"/>
      <c r="B242" s="16"/>
      <c r="C242" s="5"/>
      <c r="D242" s="10"/>
      <c r="E242" s="10"/>
      <c r="F242" s="10"/>
    </row>
    <row r="243" spans="1:6" ht="15.75">
      <c r="A243" s="15"/>
      <c r="B243" s="16"/>
      <c r="C243" s="5"/>
      <c r="D243" s="10"/>
      <c r="E243" s="10"/>
      <c r="F243" s="10"/>
    </row>
    <row r="244" spans="1:6" ht="15.75">
      <c r="A244" s="15"/>
      <c r="B244" s="16"/>
      <c r="C244" s="5"/>
      <c r="D244" s="10"/>
      <c r="E244" s="10"/>
      <c r="F244" s="10"/>
    </row>
    <row r="245" spans="1:6" ht="15.75">
      <c r="A245" s="15"/>
      <c r="B245" s="16"/>
      <c r="C245" s="5"/>
      <c r="D245" s="10"/>
      <c r="E245" s="10"/>
      <c r="F245" s="10"/>
    </row>
    <row r="246" spans="1:6" ht="15.75">
      <c r="A246" s="15"/>
      <c r="B246" s="16"/>
      <c r="C246" s="5"/>
      <c r="D246" s="10"/>
      <c r="E246" s="10"/>
      <c r="F246" s="10"/>
    </row>
    <row r="247" spans="1:6" ht="15.75">
      <c r="A247" s="15"/>
      <c r="B247" s="16"/>
      <c r="C247" s="5"/>
      <c r="D247" s="10"/>
      <c r="E247" s="10"/>
      <c r="F247" s="10"/>
    </row>
    <row r="248" spans="1:6" ht="15.75">
      <c r="A248" s="15"/>
      <c r="B248" s="16"/>
      <c r="C248" s="5"/>
      <c r="D248" s="10"/>
      <c r="E248" s="10"/>
      <c r="F248" s="10"/>
    </row>
    <row r="249" spans="1:6" ht="15.75">
      <c r="A249" s="15"/>
      <c r="B249" s="16"/>
      <c r="C249" s="5"/>
      <c r="D249" s="10"/>
      <c r="E249" s="10"/>
      <c r="F249" s="10"/>
    </row>
    <row r="250" spans="1:6" ht="15.75">
      <c r="A250" s="15"/>
      <c r="B250" s="16"/>
      <c r="C250" s="5"/>
      <c r="D250" s="10"/>
      <c r="E250" s="10"/>
      <c r="F250" s="10"/>
    </row>
    <row r="251" spans="1:6" ht="15.75">
      <c r="A251" s="15"/>
      <c r="B251" s="16"/>
      <c r="C251" s="5"/>
      <c r="D251" s="10"/>
      <c r="E251" s="10"/>
      <c r="F251" s="10"/>
    </row>
    <row r="252" spans="1:6" ht="15.75">
      <c r="A252" s="15"/>
      <c r="B252" s="16"/>
      <c r="C252" s="5"/>
      <c r="D252" s="10"/>
      <c r="E252" s="10"/>
      <c r="F252" s="10"/>
    </row>
    <row r="253" spans="1:6" ht="15.75">
      <c r="A253" s="15"/>
      <c r="B253" s="16"/>
      <c r="C253" s="5"/>
      <c r="D253" s="10"/>
      <c r="E253" s="10"/>
      <c r="F253" s="10"/>
    </row>
    <row r="254" spans="1:6" ht="15.75">
      <c r="A254" s="15"/>
      <c r="B254" s="16"/>
      <c r="C254" s="5"/>
      <c r="D254" s="10"/>
      <c r="E254" s="10"/>
      <c r="F254" s="10"/>
    </row>
    <row r="255" spans="1:6" ht="15.75">
      <c r="A255" s="15"/>
      <c r="B255" s="16"/>
      <c r="C255" s="5"/>
      <c r="D255" s="10"/>
      <c r="E255" s="10"/>
      <c r="F255" s="10"/>
    </row>
    <row r="256" spans="1:6" ht="15.75">
      <c r="A256" s="15"/>
      <c r="B256" s="16"/>
      <c r="C256" s="5"/>
      <c r="D256" s="10"/>
      <c r="E256" s="10"/>
      <c r="F256" s="10"/>
    </row>
    <row r="257" spans="1:6" ht="15.75">
      <c r="A257" s="15"/>
      <c r="B257" s="16"/>
      <c r="C257" s="5"/>
      <c r="D257" s="10"/>
      <c r="E257" s="10"/>
      <c r="F257" s="10"/>
    </row>
    <row r="258" spans="1:6" ht="15.75">
      <c r="A258" s="15"/>
      <c r="B258" s="16"/>
      <c r="C258" s="5"/>
      <c r="D258" s="10"/>
      <c r="E258" s="10"/>
      <c r="F258" s="10"/>
    </row>
    <row r="259" spans="1:6" ht="15.75">
      <c r="A259" s="15"/>
      <c r="B259" s="16"/>
      <c r="C259" s="5"/>
      <c r="D259" s="10"/>
      <c r="E259" s="10"/>
      <c r="F259" s="10"/>
    </row>
    <row r="260" spans="1:6" ht="15.75">
      <c r="A260" s="15"/>
      <c r="B260" s="16"/>
      <c r="C260" s="5"/>
      <c r="D260" s="10"/>
      <c r="E260" s="10"/>
      <c r="F260" s="10"/>
    </row>
    <row r="261" spans="1:6" ht="15.75">
      <c r="A261" s="15"/>
      <c r="B261" s="16"/>
      <c r="C261" s="5"/>
      <c r="D261" s="10"/>
      <c r="E261" s="10"/>
      <c r="F261" s="10"/>
    </row>
    <row r="262" spans="1:6" ht="15.75">
      <c r="A262" s="1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6" ht="12.75">
      <c r="B313" s="2"/>
      <c r="C313" s="5"/>
      <c r="D313" s="10"/>
      <c r="E313" s="10"/>
      <c r="F313" s="10"/>
    </row>
    <row r="314" spans="2:6" ht="12.75">
      <c r="B314" s="2"/>
      <c r="C314" s="5"/>
      <c r="D314" s="10"/>
      <c r="E314" s="10"/>
      <c r="F314" s="10"/>
    </row>
    <row r="315" spans="2:6" ht="12.75">
      <c r="B315" s="2"/>
      <c r="C315" s="5"/>
      <c r="D315" s="10"/>
      <c r="E315" s="10"/>
      <c r="F315" s="10"/>
    </row>
    <row r="316" spans="2:6" ht="12.75">
      <c r="B316" s="2"/>
      <c r="C316" s="5"/>
      <c r="D316" s="10"/>
      <c r="E316" s="10"/>
      <c r="F316" s="10"/>
    </row>
    <row r="317" spans="2:6" ht="12.75">
      <c r="B317" s="2"/>
      <c r="C317" s="5"/>
      <c r="D317" s="10"/>
      <c r="E317" s="10"/>
      <c r="F317" s="10"/>
    </row>
    <row r="318" spans="2:6" ht="12.75">
      <c r="B318" s="2"/>
      <c r="C318" s="5"/>
      <c r="D318" s="10"/>
      <c r="E318" s="10"/>
      <c r="F318" s="10"/>
    </row>
    <row r="319" spans="2:6" ht="12.75">
      <c r="B319" s="2"/>
      <c r="C319" s="5"/>
      <c r="D319" s="10"/>
      <c r="E319" s="10"/>
      <c r="F319" s="10"/>
    </row>
    <row r="320" spans="2:6" ht="12.75">
      <c r="B320" s="2"/>
      <c r="C320" s="5"/>
      <c r="D320" s="10"/>
      <c r="E320" s="10"/>
      <c r="F320" s="10"/>
    </row>
    <row r="321" spans="2:6" ht="12.75">
      <c r="B321" s="2"/>
      <c r="C321" s="5"/>
      <c r="D321" s="10"/>
      <c r="E321" s="10"/>
      <c r="F321" s="10"/>
    </row>
    <row r="322" spans="2:6" ht="12.75">
      <c r="B322" s="2"/>
      <c r="C322" s="5"/>
      <c r="D322" s="10"/>
      <c r="E322" s="10"/>
      <c r="F322" s="10"/>
    </row>
    <row r="323" spans="2:6" ht="12.75">
      <c r="B323" s="2"/>
      <c r="C323" s="5"/>
      <c r="D323" s="10"/>
      <c r="E323" s="10"/>
      <c r="F323" s="10"/>
    </row>
    <row r="324" spans="2:6" ht="12.75">
      <c r="B324" s="2"/>
      <c r="C324" s="5"/>
      <c r="D324" s="10"/>
      <c r="E324" s="10"/>
      <c r="F324" s="10"/>
    </row>
    <row r="325" spans="2:6" ht="12.75">
      <c r="B325" s="2"/>
      <c r="C325" s="5"/>
      <c r="D325" s="10"/>
      <c r="E325" s="10"/>
      <c r="F325" s="10"/>
    </row>
    <row r="326" spans="2:6" ht="12.75">
      <c r="B326" s="2"/>
      <c r="C326" s="5"/>
      <c r="D326" s="10"/>
      <c r="E326" s="10"/>
      <c r="F326" s="10"/>
    </row>
    <row r="327" spans="2:6" ht="12.75">
      <c r="B327" s="2"/>
      <c r="C327" s="5"/>
      <c r="D327" s="10"/>
      <c r="E327" s="10"/>
      <c r="F327" s="10"/>
    </row>
    <row r="328" spans="2:6" ht="12.75">
      <c r="B328" s="2"/>
      <c r="C328" s="5"/>
      <c r="D328" s="10"/>
      <c r="E328" s="10"/>
      <c r="F328" s="10"/>
    </row>
    <row r="329" spans="2:6" ht="12.75">
      <c r="B329" s="2"/>
      <c r="C329" s="5"/>
      <c r="D329" s="10"/>
      <c r="E329" s="10"/>
      <c r="F329" s="10"/>
    </row>
    <row r="330" spans="2:6" ht="12.75">
      <c r="B330" s="2"/>
      <c r="C330" s="5"/>
      <c r="D330" s="10"/>
      <c r="E330" s="10"/>
      <c r="F330" s="10"/>
    </row>
    <row r="331" spans="2:6" ht="12.75">
      <c r="B331" s="2"/>
      <c r="C331" s="5"/>
      <c r="D331" s="10"/>
      <c r="E331" s="10"/>
      <c r="F331" s="10"/>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spans="2:3" ht="12.75">
      <c r="B421" s="2"/>
      <c r="C421" s="5"/>
    </row>
    <row r="422" spans="2:3" ht="12.75">
      <c r="B422" s="2"/>
      <c r="C422" s="5"/>
    </row>
    <row r="423" spans="2:3" ht="12.75">
      <c r="B423" s="2"/>
      <c r="C423" s="5"/>
    </row>
    <row r="424" spans="2:3" ht="12.75">
      <c r="B424" s="2"/>
      <c r="C424" s="5"/>
    </row>
    <row r="425" spans="2:3" ht="12.75">
      <c r="B425" s="2"/>
      <c r="C425" s="5"/>
    </row>
    <row r="426" spans="2:3" ht="12.75">
      <c r="B426" s="2"/>
      <c r="C426" s="5"/>
    </row>
    <row r="427" spans="2:3" ht="12.75">
      <c r="B427" s="2"/>
      <c r="C427" s="5"/>
    </row>
    <row r="428" spans="2:3" ht="12.75">
      <c r="B428" s="2"/>
      <c r="C428" s="5"/>
    </row>
    <row r="429" spans="2:3" ht="12.75">
      <c r="B429" s="2"/>
      <c r="C429" s="5"/>
    </row>
    <row r="430" spans="2:3" ht="12.75">
      <c r="B430" s="2"/>
      <c r="C430" s="5"/>
    </row>
    <row r="431" spans="2:3" ht="12.75">
      <c r="B431" s="2"/>
      <c r="C431" s="5"/>
    </row>
    <row r="432" spans="2:3" ht="12.75">
      <c r="B432" s="2"/>
      <c r="C432" s="5"/>
    </row>
    <row r="433" spans="2:3" ht="12.75">
      <c r="B433" s="2"/>
      <c r="C433" s="5"/>
    </row>
    <row r="434" spans="2:3" ht="12.75">
      <c r="B434" s="2"/>
      <c r="C434" s="5"/>
    </row>
    <row r="435" spans="2:3" ht="12.75">
      <c r="B435" s="2"/>
      <c r="C435" s="5"/>
    </row>
    <row r="436" spans="2:3" ht="12.75">
      <c r="B436" s="2"/>
      <c r="C436" s="5"/>
    </row>
    <row r="437" spans="2:3" ht="12.75">
      <c r="B437" s="2"/>
      <c r="C437" s="5"/>
    </row>
    <row r="438" spans="2:3" ht="12.75">
      <c r="B438" s="2"/>
      <c r="C438" s="5"/>
    </row>
    <row r="439" spans="2:3" ht="12.75">
      <c r="B439" s="2"/>
      <c r="C439" s="5"/>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row r="944" ht="12.75">
      <c r="B944" s="2"/>
    </row>
    <row r="945" ht="12.75">
      <c r="B945" s="2"/>
    </row>
    <row r="946" ht="12.75">
      <c r="B946" s="2"/>
    </row>
    <row r="947" ht="12.75">
      <c r="B947" s="2"/>
    </row>
    <row r="948" ht="12.75">
      <c r="B948" s="2"/>
    </row>
    <row r="949" ht="12.75">
      <c r="B949" s="2"/>
    </row>
    <row r="950" ht="12.75">
      <c r="B950" s="2"/>
    </row>
    <row r="951" ht="12.75">
      <c r="B951" s="2"/>
    </row>
    <row r="952" ht="12.75">
      <c r="B952" s="2"/>
    </row>
    <row r="953" ht="12.75">
      <c r="B953" s="2"/>
    </row>
    <row r="954" ht="12.75">
      <c r="B954" s="2"/>
    </row>
    <row r="955" ht="12.75">
      <c r="B955" s="2"/>
    </row>
    <row r="956" ht="12.75">
      <c r="B956" s="2"/>
    </row>
    <row r="957" ht="12.75">
      <c r="B957" s="2"/>
    </row>
    <row r="958" ht="12.75">
      <c r="B958" s="2"/>
    </row>
    <row r="959" ht="12.75">
      <c r="B959" s="2"/>
    </row>
    <row r="960" ht="12.75">
      <c r="B960" s="2"/>
    </row>
    <row r="961" ht="12.75">
      <c r="B961" s="2"/>
    </row>
    <row r="962" ht="12.75">
      <c r="B962" s="2"/>
    </row>
  </sheetData>
  <sheetProtection/>
  <mergeCells count="21">
    <mergeCell ref="P9:P12"/>
    <mergeCell ref="E10:E12"/>
    <mergeCell ref="F10:G10"/>
    <mergeCell ref="I10:I12"/>
    <mergeCell ref="J10:J12"/>
    <mergeCell ref="M10:M12"/>
    <mergeCell ref="N10:O10"/>
    <mergeCell ref="L11:L12"/>
    <mergeCell ref="G11:G12"/>
    <mergeCell ref="I9:O9"/>
    <mergeCell ref="B6:M6"/>
    <mergeCell ref="D10:D12"/>
    <mergeCell ref="K11:K12"/>
    <mergeCell ref="C9:C12"/>
    <mergeCell ref="H10:H12"/>
    <mergeCell ref="F11:F12"/>
    <mergeCell ref="A9:A12"/>
    <mergeCell ref="B9:B12"/>
    <mergeCell ref="N11:N12"/>
    <mergeCell ref="D9:H9"/>
    <mergeCell ref="K10:L10"/>
  </mergeCells>
  <conditionalFormatting sqref="S134:W138 S151:AC154 I152:N154 S59:W65 E35:E36 S35:S36 S33:T34 E29:E30 S29:S32">
    <cfRule type="cellIs" priority="1" dxfId="0" operator="equal" stopIfTrue="1">
      <formula>0</formula>
    </cfRule>
  </conditionalFormatting>
  <printOptions horizontalCentered="1"/>
  <pageMargins left="0.1968503937007874" right="0.1968503937007874" top="0.67" bottom="0.22" header="0.3" footer="0.19"/>
  <pageSetup fitToHeight="0" horizontalDpi="600" verticalDpi="600" orientation="landscape" paperSize="9" scale="33" r:id="rId1"/>
  <headerFooter alignWithMargins="0">
    <oddFooter>&amp;CСтраница &amp;P</oddFooter>
  </headerFooter>
  <rowBreaks count="9" manualBreakCount="9">
    <brk id="31" max="15" man="1"/>
    <brk id="58" max="15" man="1"/>
    <brk id="70" max="15" man="1"/>
    <brk id="73" max="15" man="1"/>
    <brk id="79" max="15" man="1"/>
    <brk id="85" max="15" man="1"/>
    <brk id="99" max="15" man="1"/>
    <brk id="113" max="15" man="1"/>
    <brk id="1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2015-12-24T13:59:17Z</cp:lastPrinted>
  <dcterms:created xsi:type="dcterms:W3CDTF">2002-12-20T15:22:07Z</dcterms:created>
  <dcterms:modified xsi:type="dcterms:W3CDTF">2015-12-24T13:59:18Z</dcterms:modified>
  <cp:category/>
  <cp:version/>
  <cp:contentType/>
  <cp:contentStatus/>
</cp:coreProperties>
</file>