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650" activeTab="0"/>
  </bookViews>
  <sheets>
    <sheet name="Лист1" sheetId="1" r:id="rId1"/>
  </sheets>
  <definedNames>
    <definedName name="_xlnm.Print_Titles" localSheetId="0">'Лист1'!$10:$14</definedName>
    <definedName name="_xlnm.Print_Area" localSheetId="0">'Лист1'!$A$1:$P$202</definedName>
  </definedNames>
  <calcPr fullCalcOnLoad="1"/>
</workbook>
</file>

<file path=xl/sharedStrings.xml><?xml version="1.0" encoding="utf-8"?>
<sst xmlns="http://schemas.openxmlformats.org/spreadsheetml/2006/main" count="532" uniqueCount="414">
  <si>
    <t>Фінансове управління райдержадміністрації</t>
  </si>
  <si>
    <t>Всього</t>
  </si>
  <si>
    <t>з них:</t>
  </si>
  <si>
    <t>оплата праці</t>
  </si>
  <si>
    <t>комунальні послуги та енергоносії</t>
  </si>
  <si>
    <t>Соціальний захист та соціальне забезпечення</t>
  </si>
  <si>
    <t>Всього:</t>
  </si>
  <si>
    <t>Освіта</t>
  </si>
  <si>
    <t>Культура і мистецтво</t>
  </si>
  <si>
    <t>Бібліотеки</t>
  </si>
  <si>
    <t>Музеї і виставки</t>
  </si>
  <si>
    <t>Районна рада</t>
  </si>
  <si>
    <t>Райдержадміністрація</t>
  </si>
  <si>
    <t>Інші видатки на соціальний захист населення</t>
  </si>
  <si>
    <t xml:space="preserve"> </t>
  </si>
  <si>
    <t>Інші видатки на соціальний захист ветеранів війни та праці</t>
  </si>
  <si>
    <t>Разом видатків</t>
  </si>
  <si>
    <t>Резервний фонд</t>
  </si>
  <si>
    <t>Охорона здоров"я</t>
  </si>
  <si>
    <t>Управління  соціального захисту населення райдержадміністрації</t>
  </si>
  <si>
    <t>0100000</t>
  </si>
  <si>
    <t>0110000</t>
  </si>
  <si>
    <t>0300000</t>
  </si>
  <si>
    <t>0310000</t>
  </si>
  <si>
    <t>Підготовка медичних працівників у вищих навчальних закладах державної форми власності</t>
  </si>
  <si>
    <t>0312000</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</si>
  <si>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</si>
  <si>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</si>
  <si>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</si>
  <si>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</si>
  <si>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</si>
  <si>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1011210</t>
  </si>
  <si>
    <t>Утримання інших закладів освіти</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</si>
  <si>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</si>
  <si>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</si>
  <si>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</si>
  <si>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</si>
  <si>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1513022</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</si>
  <si>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</si>
  <si>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</si>
  <si>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</si>
  <si>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</si>
  <si>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1513014</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</si>
  <si>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</si>
  <si>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</si>
  <si>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</si>
  <si>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</si>
  <si>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</si>
  <si>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</si>
  <si>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</si>
  <si>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</si>
  <si>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</si>
  <si>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</si>
  <si>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</si>
  <si>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</si>
  <si>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</si>
  <si>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</si>
  <si>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</si>
  <si>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</si>
  <si>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</si>
  <si>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</si>
  <si>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</si>
  <si>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</si>
  <si>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</si>
  <si>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</si>
  <si>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</si>
  <si>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</si>
  <si>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</si>
  <si>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</si>
  <si>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</si>
  <si>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</si>
  <si>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</si>
  <si>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</si>
  <si>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</si>
  <si>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</si>
  <si>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</si>
  <si>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</si>
  <si>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</si>
  <si>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</si>
  <si>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</si>
  <si>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</si>
  <si>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</si>
  <si>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</si>
  <si>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</si>
  <si>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2414060</t>
  </si>
  <si>
    <t>2414070</t>
  </si>
  <si>
    <t>7618010</t>
  </si>
  <si>
    <t>Централізоване ведення бухгалтерського обліку</t>
  </si>
  <si>
    <t>1000000</t>
  </si>
  <si>
    <t>1010000</t>
  </si>
  <si>
    <t>1500000</t>
  </si>
  <si>
    <t>2400000</t>
  </si>
  <si>
    <t>2410000</t>
  </si>
  <si>
    <t>2414000</t>
  </si>
  <si>
    <t>7600000</t>
  </si>
  <si>
    <t>7610000</t>
  </si>
  <si>
    <t>1513131</t>
  </si>
  <si>
    <t>1011000</t>
  </si>
  <si>
    <t>1510000</t>
  </si>
  <si>
    <t>1513000</t>
  </si>
  <si>
    <t>Інші освітні програми</t>
  </si>
  <si>
    <t>0318600</t>
  </si>
  <si>
    <t>Інші видатки</t>
  </si>
  <si>
    <t>Інші культурно-освітні заклади та заходи</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</si>
  <si>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</si>
  <si>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</si>
  <si>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</si>
  <si>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</si>
  <si>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</si>
  <si>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</si>
  <si>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</si>
  <si>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</si>
  <si>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</si>
  <si>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</si>
  <si>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</si>
  <si>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</si>
  <si>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</si>
  <si>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</si>
  <si>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</si>
  <si>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</si>
  <si>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</si>
  <si>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1015060</t>
  </si>
  <si>
    <t>1015030</t>
  </si>
  <si>
    <t>1015031</t>
  </si>
  <si>
    <t>Код                                     програмної класифікації видатків та кредиту- вання місцевого бюджету</t>
  </si>
  <si>
    <t>Разом</t>
  </si>
  <si>
    <t>видатки споживання</t>
  </si>
  <si>
    <t>видатки розвитку</t>
  </si>
  <si>
    <t>бюджет розвитку</t>
  </si>
  <si>
    <t>16=4+9</t>
  </si>
  <si>
    <t>Надання допомоги на догляд за дитиною віком до трьох років</t>
  </si>
  <si>
    <t>0110170</t>
  </si>
  <si>
    <t>1011220</t>
  </si>
  <si>
    <t>0311220</t>
  </si>
  <si>
    <t>0311221</t>
  </si>
  <si>
    <t>0312180</t>
  </si>
  <si>
    <t>1011090</t>
  </si>
  <si>
    <t>1513105</t>
  </si>
  <si>
    <t>1511060</t>
  </si>
  <si>
    <t>2414200</t>
  </si>
  <si>
    <t>2414201</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</si>
  <si>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</si>
  <si>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</si>
  <si>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</si>
  <si>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1011230</t>
  </si>
  <si>
    <t>1011221</t>
  </si>
  <si>
    <t>Відділ освіти, молоді і спорту райдержадміністрації</t>
  </si>
  <si>
    <t>2418800</t>
  </si>
  <si>
    <t>Інші субвенції</t>
  </si>
  <si>
    <t>2418801</t>
  </si>
  <si>
    <t xml:space="preserve">Субвенція з районного бюджету місцевим бюджетам на утримання закладів культури </t>
  </si>
  <si>
    <t>1018800</t>
  </si>
  <si>
    <t>1018801</t>
  </si>
  <si>
    <t>Субвенція з районного бюджету місцевим бюджетам на дошкільну освіту</t>
  </si>
  <si>
    <t>0317800</t>
  </si>
  <si>
    <t>Запобігання та ліквідація надзвичайних ситуацій та наслідків стихійного лиха</t>
  </si>
  <si>
    <t>0317810</t>
  </si>
  <si>
    <t>Видатки на запобігання та ліквідацію надзвичайних ситуація та наслідків стихійного лиха</t>
  </si>
  <si>
    <t>0313110</t>
  </si>
  <si>
    <t>Заклади і заходи з питань дітей та їх соціального захисту</t>
  </si>
  <si>
    <t>0313112</t>
  </si>
  <si>
    <t>Заходи державної політики з питань дітей та їх соціального захисту</t>
  </si>
  <si>
    <t>0312010</t>
  </si>
  <si>
    <t>Багатопрофільна стаціонарна медична допомога населенню</t>
  </si>
  <si>
    <t>1513402</t>
  </si>
  <si>
    <t>Організація підвозу дітей до загальноосвітніх навчальних закладів</t>
  </si>
  <si>
    <t>Видатки, не віднесені до основних груп</t>
  </si>
  <si>
    <t>0318000</t>
  </si>
  <si>
    <t>Код ФКВКБ</t>
  </si>
  <si>
    <t>0111</t>
  </si>
  <si>
    <t>0990</t>
  </si>
  <si>
    <t>0731</t>
  </si>
  <si>
    <t>0726</t>
  </si>
  <si>
    <t>1040</t>
  </si>
  <si>
    <t>0320</t>
  </si>
  <si>
    <t>0133</t>
  </si>
  <si>
    <t>0921</t>
  </si>
  <si>
    <t>0960</t>
  </si>
  <si>
    <t>0810</t>
  </si>
  <si>
    <t>0180</t>
  </si>
  <si>
    <t>1030</t>
  </si>
  <si>
    <t>1070</t>
  </si>
  <si>
    <t>1060</t>
  </si>
  <si>
    <t>1010</t>
  </si>
  <si>
    <t>1020</t>
  </si>
  <si>
    <t>1090</t>
  </si>
  <si>
    <t>0910</t>
  </si>
  <si>
    <t>0824</t>
  </si>
  <si>
    <t>0829</t>
  </si>
  <si>
    <t>Код ТПКВКМБ/ТКВКБМС</t>
  </si>
  <si>
    <t>0170</t>
  </si>
  <si>
    <t>1220</t>
  </si>
  <si>
    <t>1221</t>
  </si>
  <si>
    <t>2010</t>
  </si>
  <si>
    <t>2180</t>
  </si>
  <si>
    <t>3112</t>
  </si>
  <si>
    <t>7810</t>
  </si>
  <si>
    <t>8600</t>
  </si>
  <si>
    <t>8601</t>
  </si>
  <si>
    <t>1210</t>
  </si>
  <si>
    <t>1230</t>
  </si>
  <si>
    <t>5060</t>
  </si>
  <si>
    <t>5031</t>
  </si>
  <si>
    <t>8800</t>
  </si>
  <si>
    <t>8801</t>
  </si>
  <si>
    <t>3011</t>
  </si>
  <si>
    <t>3012</t>
  </si>
  <si>
    <t>3013</t>
  </si>
  <si>
    <t>3014</t>
  </si>
  <si>
    <t>3015</t>
  </si>
  <si>
    <t>3016</t>
  </si>
  <si>
    <t>3021</t>
  </si>
  <si>
    <t>3022</t>
  </si>
  <si>
    <t>3023</t>
  </si>
  <si>
    <t>3024</t>
  </si>
  <si>
    <t>3025</t>
  </si>
  <si>
    <t>3026</t>
  </si>
  <si>
    <t>3041</t>
  </si>
  <si>
    <t>3042</t>
  </si>
  <si>
    <t>3043</t>
  </si>
  <si>
    <t>3044</t>
  </si>
  <si>
    <t>3045</t>
  </si>
  <si>
    <t>3046</t>
  </si>
  <si>
    <t>3047</t>
  </si>
  <si>
    <t>3048</t>
  </si>
  <si>
    <t>3049</t>
  </si>
  <si>
    <t>3080</t>
  </si>
  <si>
    <t>3050</t>
  </si>
  <si>
    <t>3090</t>
  </si>
  <si>
    <t>3105</t>
  </si>
  <si>
    <t>3131</t>
  </si>
  <si>
    <t>3181</t>
  </si>
  <si>
    <t>3182</t>
  </si>
  <si>
    <t>3183</t>
  </si>
  <si>
    <t>3201</t>
  </si>
  <si>
    <t>3202</t>
  </si>
  <si>
    <t>3400</t>
  </si>
  <si>
    <t>3401</t>
  </si>
  <si>
    <t>3402</t>
  </si>
  <si>
    <t>4060</t>
  </si>
  <si>
    <t>4070</t>
  </si>
  <si>
    <t>4200</t>
  </si>
  <si>
    <t>4201</t>
  </si>
  <si>
    <t>8010</t>
  </si>
  <si>
    <t>з них по освітній субвенції:</t>
  </si>
  <si>
    <t>Всього по медичній субвенції:</t>
  </si>
  <si>
    <t>у тому числі видатки за рахунок цільових субвенцій з державного бюджету</t>
  </si>
  <si>
    <t>2414090</t>
  </si>
  <si>
    <t>4090</t>
  </si>
  <si>
    <t>0828</t>
  </si>
  <si>
    <t>Палаци і Будинки культури, клуби та інші заклади    клубного типу</t>
  </si>
  <si>
    <t>2414100</t>
  </si>
  <si>
    <t>4100</t>
  </si>
  <si>
    <t>Школи естетичного виховання дітей</t>
  </si>
  <si>
    <t>Надання допомоги дітям- сиротам і дітям, позбавленим батьківського піклування, яким виповнюється 18 років</t>
  </si>
  <si>
    <t>Утримання та навчально-тренувальна робота комунальних дитячо-юнацьких спортивних шкіл</t>
  </si>
  <si>
    <t>3104</t>
  </si>
  <si>
    <t>1513104</t>
  </si>
  <si>
    <t>3110</t>
  </si>
  <si>
    <t>7800</t>
  </si>
  <si>
    <t>8000</t>
  </si>
  <si>
    <t>1000</t>
  </si>
  <si>
    <t>Надання позашкільної освіти позашкільними закладами освіти, заходи із позашкільної роботи з  дітьми</t>
  </si>
  <si>
    <t>5000</t>
  </si>
  <si>
    <t>Розвиток дитячо-юнацького та резервного спорту</t>
  </si>
  <si>
    <t>Інші заходи з розвитку фізичної культури та спорту</t>
  </si>
  <si>
    <t>5030</t>
  </si>
  <si>
    <t>5061</t>
  </si>
  <si>
    <t>1015061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</si>
  <si>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</si>
  <si>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1015050</t>
  </si>
  <si>
    <t>5050</t>
  </si>
  <si>
    <t>Підтримка фізкультурно-спортивного руху</t>
  </si>
  <si>
    <t>1015051</t>
  </si>
  <si>
    <t>5051</t>
  </si>
  <si>
    <t xml:space="preserve">Фінансова підтримка регіональних всеукраїнських організацій фізкультурно-спортивної спрямованості для проведення навчально-тенувальної та спортивної роботи </t>
  </si>
  <si>
    <t>1015053</t>
  </si>
  <si>
    <t>5053</t>
  </si>
  <si>
    <t>Фінансова підтримка на утримання місцевих осередків (рад) всеукраїнськиї організацій фізкультурно - спортивної спрямованості</t>
  </si>
  <si>
    <t>2000</t>
  </si>
  <si>
    <t>3010</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</si>
  <si>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t>
  </si>
  <si>
    <t xml:space="preserve">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війскової служби особам, які стали інвалідами під час проходження військової служби; батькам та членам сімей військовослужбовців,  військово 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</si>
  <si>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</si>
  <si>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3020</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</si>
  <si>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</si>
  <si>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</si>
  <si>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</si>
  <si>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 xml:space="preserve">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</si>
  <si>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3040</t>
  </si>
  <si>
    <t>3100</t>
  </si>
  <si>
    <t>3130</t>
  </si>
  <si>
    <t>3180</t>
  </si>
  <si>
    <t xml:space="preserve">Встановлення телефонів інвалідам І і ІІ груп </t>
  </si>
  <si>
    <t>3200</t>
  </si>
  <si>
    <t xml:space="preserve">Фінансування заходів районної програми соціального захисту населення "Турбота" </t>
  </si>
  <si>
    <t xml:space="preserve">Фінансування заходів районної програми  "Безбар'єрна Баштанщина»" </t>
  </si>
  <si>
    <t>4000</t>
  </si>
  <si>
    <t>до рішення районної ради</t>
  </si>
  <si>
    <t xml:space="preserve">  Уточнений розподіл</t>
  </si>
  <si>
    <t>0318602</t>
  </si>
  <si>
    <t>8602</t>
  </si>
  <si>
    <t>1013140</t>
  </si>
  <si>
    <t>3140</t>
  </si>
  <si>
    <t>Заходи державної політики з питань молоді</t>
  </si>
  <si>
    <t>1013141</t>
  </si>
  <si>
    <t>3141</t>
  </si>
  <si>
    <t>Соціальні програми і заходи державних органів у справах молоді</t>
  </si>
  <si>
    <t>7830</t>
  </si>
  <si>
    <t>0380</t>
  </si>
  <si>
    <t>Заходи та роботи з мобілізаційної підготовки місцевого значення</t>
  </si>
  <si>
    <t>6300</t>
  </si>
  <si>
    <t>Будівництво</t>
  </si>
  <si>
    <t>6310</t>
  </si>
  <si>
    <t>0490</t>
  </si>
  <si>
    <t>Реалізація заходів щодо інвестиційного розвитку території</t>
  </si>
  <si>
    <t>1513034</t>
  </si>
  <si>
    <t>3034</t>
  </si>
  <si>
    <t>Надання пільг окремим категоріям громадян з оплати послуг зв`язку</t>
  </si>
  <si>
    <t>1513500</t>
  </si>
  <si>
    <t>3500</t>
  </si>
  <si>
    <t>1513501</t>
  </si>
  <si>
    <t>3501</t>
  </si>
  <si>
    <t>Фінансова підтримка Баштанської районної організації Товариства Червоного Хреста (заробітна плата медичній сестрі)</t>
  </si>
  <si>
    <t>2417213</t>
  </si>
  <si>
    <t>7213</t>
  </si>
  <si>
    <t>0830</t>
  </si>
  <si>
    <t>медичної субвенції</t>
  </si>
  <si>
    <t>освітньої субвенції</t>
  </si>
  <si>
    <t>0317830</t>
  </si>
  <si>
    <t>0316310</t>
  </si>
  <si>
    <t xml:space="preserve">Заходи на виконання районної Програми підтримка засобів масової інформації та забезпечення відкритості у діяльності органів державної влади та органів місцевого самоврядування  </t>
  </si>
  <si>
    <t xml:space="preserve">Заходи на виконання районної Програми збереження архівних фондів </t>
  </si>
  <si>
    <t>Додаток 3</t>
  </si>
  <si>
    <t>Сектор культури райдержадміністрації</t>
  </si>
  <si>
    <t>1513080</t>
  </si>
  <si>
    <t>за рахунок субвенції з державного бюджету</t>
  </si>
  <si>
    <t>за рахунок місцевого бюджету</t>
  </si>
  <si>
    <t>Підтримка книговидання</t>
  </si>
  <si>
    <t>0312220</t>
  </si>
  <si>
    <t>2220</t>
  </si>
  <si>
    <t>0763</t>
  </si>
  <si>
    <t>Інші заходи в галузі охорони здоров"я</t>
  </si>
  <si>
    <t>2221</t>
  </si>
  <si>
    <t>Видатки на відшкодування вартості лікарських засобів для лікування окремих захворювань ( за рахунок субвенції з державного бюджету)</t>
  </si>
  <si>
    <t>0316600</t>
  </si>
  <si>
    <t>6600</t>
  </si>
  <si>
    <t>Транспорт, дорожнє господарство, зв'язок, телекомунікації та інформатика</t>
  </si>
  <si>
    <t>0316650</t>
  </si>
  <si>
    <t>6650</t>
  </si>
  <si>
    <t>0456</t>
  </si>
  <si>
    <t>Утримання та розвиток інфраструктури доріг</t>
  </si>
  <si>
    <t>1222</t>
  </si>
  <si>
    <t>Фінансування заходів для участі учнів у Всеукраїнських змаганнях</t>
  </si>
  <si>
    <t>1513035</t>
  </si>
  <si>
    <t>3035</t>
  </si>
  <si>
    <t>Компенсаційні виплати на пільговий проїзд автомобільним транспортом окремим категоріям громадян</t>
  </si>
  <si>
    <t>1016330</t>
  </si>
  <si>
    <t>6330</t>
  </si>
  <si>
    <t>Проведення невідкладних відновлювальних робіт, будівництво та реконструкція загальноосвітніх навчальних закладів</t>
  </si>
  <si>
    <t xml:space="preserve">                                     видатків районного бюджету на 2017 рік                                                                          </t>
  </si>
  <si>
    <t>В.о. начальника фінансового управління райдержадміністрації</t>
  </si>
  <si>
    <t>О.О.Луценко</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</si>
  <si>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</si>
  <si>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</si>
  <si>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</si>
  <si>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</si>
  <si>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в тому числі за рахунок субвенції з державного бюджету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</si>
  <si>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</si>
  <si>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</si>
  <si>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</si>
  <si>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7618800</t>
  </si>
  <si>
    <t>7618801</t>
  </si>
  <si>
    <t>в тому числі по медичній субвенції:</t>
  </si>
  <si>
    <t>з них з обласного бюджету за рахунок залишку коштів медичної субвенції з державного бюджету місцевим бюджетам станом на 01.01.2017</t>
  </si>
  <si>
    <t>з обласного бюджету за рахунок залишку коштів медичної субвенції з державного бюджету місцевим бюджетам станом на 01.01.2017</t>
  </si>
  <si>
    <t>в тому числі за рахунок залишку освітньої субвенцій з державного бюджету станом на 01.01.2017</t>
  </si>
  <si>
    <t>з них за рахунок залишку коштів медичної субвенцій з державного бюджету станом на 01.01.2017</t>
  </si>
  <si>
    <t>з них з районного бюджету за рахунок залишку коштів медичної субвенцій з державного бюджету станом на 01.01.2017</t>
  </si>
  <si>
    <t>0312214</t>
  </si>
  <si>
    <t>2214</t>
  </si>
  <si>
    <t>Забезпечення централізованих заходів з лікування хворих на цукровий та нецукровий діабет</t>
  </si>
  <si>
    <t>за рахунок субвенції з обласного бюджету місцевим бюджетам за рахунок медичної субвенції з державного бюджету місцевим бюджетам</t>
  </si>
  <si>
    <t>субвенції з державного бюджету місцевим бюджетам на здійснення заходів щодо соціально-економічного розвитку окремих територій (заміна вікон, придбання меблів (комплекти шкільних дошок)</t>
  </si>
  <si>
    <t>1013143</t>
  </si>
  <si>
    <t>3143</t>
  </si>
  <si>
    <t>Інші заходи та заклади молодіжної політики</t>
  </si>
  <si>
    <t>1018802</t>
  </si>
  <si>
    <t>8802</t>
  </si>
  <si>
    <t xml:space="preserve">субвенція з районного бюджету сільському бюджету Мар»ївської сільської ради, за рахунок субвенція з обласного бюджету на виконання депутатами обласної ради доручень виборців відповідно до програм, затверджених обласною радою на 2017 рік (на придбання віконних блоків для Мар"ївського ДНЗ "Калинка") </t>
  </si>
  <si>
    <t>в тому числі за рахунок: субвенції з районного бюджету сільському бюджету за рахунок субвенції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2016 року на 2017 рік (Новоолександрівській сільській раді на капітальний ремонт Новоолександрівського ДНЗ- заміна вікон )</t>
  </si>
  <si>
    <t>з них: з районного бюджету за рахунок залишку субвенцій з державного бюджету станом на 01.01.2017 всього, в т.ч.:</t>
  </si>
  <si>
    <t>7618440</t>
  </si>
  <si>
    <t>8440</t>
  </si>
  <si>
    <t>Субвенція з державного бюджету місцевим бюджетам на здійснення заходів щодо соціально-економічного розвитку окремих територій</t>
  </si>
  <si>
    <t>7618802</t>
  </si>
  <si>
    <r>
      <t>Забезпечення соціальними послугами за місцем проживання громадян, які не здатні до самообслуговування у зв</t>
    </r>
    <r>
      <rPr>
        <sz val="22"/>
        <rFont val="Calibri"/>
        <family val="2"/>
      </rPr>
      <t>’</t>
    </r>
    <r>
      <rPr>
        <sz val="22"/>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</si>
  <si>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22"/>
        <rFont val="Calibri"/>
        <family val="2"/>
      </rPr>
      <t>’</t>
    </r>
    <r>
      <rPr>
        <sz val="22"/>
        <rFont val="Times New Roman"/>
        <family val="1"/>
      </rPr>
      <t>ях) в сім"ях патронатного вихователя</t>
    </r>
  </si>
  <si>
    <t>субвенція з районного бюджету  Баштанського району обласному бюджету на відновлення аеропортної діяльності КП «Миколаївський міжнародний аеропорт»</t>
  </si>
  <si>
    <t>в тому числі: субвенція з районного бюджету сільському бюджету за рахунок субвенції з державного бюджету місцевим бюджетам на здійснення заходів щодо соціально-економічного розвитку окремих територій (на придбання та встановлення дитячого ігрового майданчика Інгульській сільській раді - 45,5 тис.грн,Мар»ївській сільській раді  - 91,0 тис.грн, Доброкриничанській сільській раді  - 45,5 тис.грн      Лоцкинській сільській раді - 45,5 тис.грн)</t>
  </si>
  <si>
    <t>0318800</t>
  </si>
  <si>
    <r>
      <t>субвенція з районного бюджету Баштанського району о</t>
    </r>
    <r>
      <rPr>
        <sz val="16"/>
        <color indexed="8"/>
        <rFont val="Times New Roman"/>
        <family val="1"/>
      </rPr>
      <t xml:space="preserve">бласному бюджету </t>
    </r>
    <r>
      <rPr>
        <sz val="16"/>
        <rFont val="Times New Roman"/>
        <family val="1"/>
      </rPr>
      <t xml:space="preserve">на співфінансування інвестиційних програм і проектів регіонального розвитку, що можуть реалізуватися у 2017 році за рахунок коштів державного фонду регіонального розвитку, в тому числі: корпус центру дитячої реабілітації та корпус хоспісу Баштанської центральної районної лікарні по вул.Ювілейній, 3, м.Баштанка – реконструкція з добудовою під хоспіс </t>
    </r>
  </si>
  <si>
    <t>0317420</t>
  </si>
  <si>
    <t>7420</t>
  </si>
  <si>
    <t>Програма стабілізації та соціально-економічного розвитку територій</t>
  </si>
  <si>
    <t>субвенція з районного бюджету сільському бюджету за рахунок субвенції з державного бюджету місцевим бюджетам на здійснення заходів щодо соціально-економічного розвитку окремих територій (на придбання водоочисного обладнання для забезпечення питною водою населення, прикріпленого до Інгульської сільської ради  - 162,0 тис.грн Доброкриничанської сільської ради  - 162,0 тис.грн   Баштанського району)</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</si>
  <si>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</si>
  <si>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на співфінансування видатків за рахунок субвенції з державного бюджету місцевим бюджетам на здійснення заходів щодо соціально-економічного розвитку окремих територій</t>
  </si>
  <si>
    <t>в тому числі:кошти районного бюджету для спрямування
на співфінансування об»єктів по напрямках і
заходах, що будуть визначені окремими
нормативно-правовими актами Кабінету Міністрів
України інвестиційних програм і проектів регіонального розвитку, що можуть реалізовуватися у 2017 році за рахунок коштів державного фонду регіонального розвитку (корпус центру дитячої реабілітації та корпус хоспісу Баштанської центральної районної лікарні по вул.Ювілейній,3, м.Баштанка – реконструкція з добудовою під хоспіс)</t>
  </si>
  <si>
    <t>1516310</t>
  </si>
  <si>
    <t xml:space="preserve">від  12.10.2017  № 5 </t>
  </si>
  <si>
    <t xml:space="preserve">субвенція з районного бюджету Баштанського району обласному бюджету за рахунок субвенції Лоцкинської сільської ради на забезпечення придбання  житла для сімей  участників антитерористичної операції на сході України, які перебувають на квартирному обліку </t>
  </si>
  <si>
    <t>1518800</t>
  </si>
  <si>
    <t>1518801</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</si>
</sst>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 numFmtId="192" formatCode="0.0000000"/>
  </numFmts>
  <fonts count="43">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8"/>
      <name val="Times New Roman"/>
      <family val="1"/>
    </font>
    <font>
      <sz val="16"/>
      <name val="Times New Roman"/>
      <family val="1"/>
    </font>
    <font>
      <b/>
      <sz val="15"/>
      <color indexed="62"/>
      <name val="Calibri"/>
      <family val="2"/>
    </font>
    <font>
      <b/>
      <sz val="11"/>
      <color indexed="62"/>
      <name val="Calibri"/>
      <family val="2"/>
    </font>
    <font>
      <b/>
      <sz val="18"/>
      <color indexed="62"/>
      <name val="Cambria"/>
      <family val="2"/>
    </font>
    <font>
      <sz val="18"/>
      <name val="Times New Roman"/>
      <family val="1"/>
    </font>
    <font>
      <sz val="16"/>
      <color indexed="10"/>
      <name val="Times New Roman"/>
      <family val="1"/>
    </font>
    <font>
      <b/>
      <sz val="16"/>
      <name val="Times New Roman"/>
      <family val="1"/>
    </font>
    <font>
      <sz val="16"/>
      <color indexed="8"/>
      <name val="Times New Roman"/>
      <family val="1"/>
    </font>
    <font>
      <sz val="22"/>
      <color indexed="10"/>
      <name val="Times New Roman"/>
      <family val="1"/>
    </font>
    <font>
      <b/>
      <sz val="22"/>
      <name val="Times New Roman"/>
      <family val="1"/>
    </font>
    <font>
      <sz val="22"/>
      <color indexed="10"/>
      <name val="Arial Cyr"/>
      <family val="0"/>
    </font>
    <font>
      <b/>
      <sz val="22"/>
      <color indexed="10"/>
      <name val="Times New Roman"/>
      <family val="1"/>
    </font>
    <font>
      <b/>
      <i/>
      <sz val="22"/>
      <name val="Times New Roman"/>
      <family val="1"/>
    </font>
    <font>
      <sz val="22"/>
      <name val="Times New Roman"/>
      <family val="1"/>
    </font>
    <font>
      <sz val="22"/>
      <name val="Times New Roman Cyr"/>
      <family val="1"/>
    </font>
    <font>
      <b/>
      <sz val="22"/>
      <name val="Times New Roman Cyr"/>
      <family val="0"/>
    </font>
    <font>
      <sz val="22"/>
      <name val="Calibri"/>
      <family val="2"/>
    </font>
    <font>
      <sz val="22"/>
      <name val="Times New Roman CYR"/>
      <family val="0"/>
    </font>
    <font>
      <sz val="20"/>
      <name val="Times New Roman"/>
      <family val="1"/>
    </font>
    <font>
      <b/>
      <sz val="20"/>
      <name val="Times New Roman Cyr"/>
      <family val="0"/>
    </font>
    <font>
      <b/>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name val="Times New Roman Cyr"/>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3"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30" fillId="3" borderId="1" applyNumberFormat="0" applyAlignment="0" applyProtection="0"/>
    <xf numFmtId="0" fontId="31" fillId="2" borderId="2" applyNumberFormat="0" applyAlignment="0" applyProtection="0"/>
    <xf numFmtId="0" fontId="32" fillId="2"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3" applyNumberFormat="0" applyFill="0" applyAlignment="0" applyProtection="0"/>
    <xf numFmtId="0" fontId="33"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34" fillId="0" borderId="6" applyNumberFormat="0" applyFill="0" applyAlignment="0" applyProtection="0"/>
    <xf numFmtId="0" fontId="35" fillId="15" borderId="7" applyNumberFormat="0" applyAlignment="0" applyProtection="0"/>
    <xf numFmtId="0" fontId="10" fillId="0" borderId="0" applyNumberFormat="0" applyFill="0" applyBorder="0" applyAlignment="0" applyProtection="0"/>
    <xf numFmtId="0" fontId="36" fillId="8" borderId="0" applyNumberFormat="0" applyBorder="0" applyAlignment="0" applyProtection="0"/>
    <xf numFmtId="0" fontId="4" fillId="0" borderId="0" applyNumberFormat="0" applyFill="0" applyBorder="0" applyAlignment="0" applyProtection="0"/>
    <xf numFmtId="0" fontId="37" fillId="16" borderId="0" applyNumberFormat="0" applyBorder="0" applyAlignment="0" applyProtection="0"/>
    <xf numFmtId="0" fontId="3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17" borderId="0" applyNumberFormat="0" applyBorder="0" applyAlignment="0" applyProtection="0"/>
  </cellStyleXfs>
  <cellXfs count="171">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right" vertical="center" wrapText="1"/>
    </xf>
    <xf numFmtId="0" fontId="6" fillId="0" borderId="0" xfId="0" applyFont="1" applyAlignment="1">
      <alignment/>
    </xf>
    <xf numFmtId="182" fontId="2" fillId="0" borderId="0" xfId="0" applyNumberFormat="1" applyFont="1" applyAlignment="1">
      <alignment/>
    </xf>
    <xf numFmtId="49" fontId="5" fillId="0" borderId="0" xfId="0" applyNumberFormat="1" applyFont="1" applyAlignment="1">
      <alignment horizontal="center" vertical="top" wrapText="1"/>
    </xf>
    <xf numFmtId="0" fontId="5" fillId="0" borderId="0" xfId="0" applyFont="1" applyAlignment="1">
      <alignment vertical="top"/>
    </xf>
    <xf numFmtId="49" fontId="2" fillId="0" borderId="0" xfId="0" applyNumberFormat="1" applyFont="1" applyAlignment="1">
      <alignment horizontal="center" vertical="top" wrapText="1"/>
    </xf>
    <xf numFmtId="182" fontId="7" fillId="0" borderId="0" xfId="0" applyNumberFormat="1" applyFont="1" applyAlignment="1">
      <alignment horizontal="right" vertical="top" wrapText="1"/>
    </xf>
    <xf numFmtId="0" fontId="7" fillId="0" borderId="0" xfId="0" applyFont="1" applyAlignment="1">
      <alignment horizontal="justify" vertical="top" wrapText="1"/>
    </xf>
    <xf numFmtId="0" fontId="2" fillId="0" borderId="0" xfId="0" applyFont="1" applyAlignment="1">
      <alignment vertical="top"/>
    </xf>
    <xf numFmtId="182" fontId="11" fillId="0" borderId="0" xfId="0" applyNumberFormat="1" applyFont="1" applyAlignment="1">
      <alignment vertical="justify"/>
    </xf>
    <xf numFmtId="0" fontId="11" fillId="0" borderId="0" xfId="0" applyFont="1" applyAlignment="1">
      <alignment/>
    </xf>
    <xf numFmtId="182" fontId="11" fillId="0" borderId="0" xfId="0" applyNumberFormat="1" applyFont="1" applyAlignment="1">
      <alignment/>
    </xf>
    <xf numFmtId="182" fontId="11" fillId="0" borderId="0" xfId="0" applyNumberFormat="1" applyFont="1" applyAlignment="1">
      <alignment/>
    </xf>
    <xf numFmtId="2" fontId="11" fillId="0" borderId="0" xfId="0" applyNumberFormat="1" applyFont="1" applyAlignment="1">
      <alignment/>
    </xf>
    <xf numFmtId="182" fontId="7" fillId="0" borderId="0" xfId="0" applyNumberFormat="1" applyFont="1" applyAlignment="1">
      <alignment/>
    </xf>
    <xf numFmtId="0" fontId="7" fillId="0" borderId="0" xfId="0" applyFont="1" applyAlignment="1">
      <alignment/>
    </xf>
    <xf numFmtId="0" fontId="7" fillId="0" borderId="0" xfId="0" applyFont="1" applyAlignment="1">
      <alignment horizontal="left" vertical="top" wrapText="1"/>
    </xf>
    <xf numFmtId="0" fontId="14" fillId="0" borderId="0" xfId="0" applyFont="1" applyAlignment="1">
      <alignment/>
    </xf>
    <xf numFmtId="0" fontId="12" fillId="0" borderId="0" xfId="0" applyFont="1" applyAlignment="1">
      <alignment/>
    </xf>
    <xf numFmtId="0" fontId="12" fillId="0" borderId="10" xfId="0" applyFont="1" applyBorder="1" applyAlignment="1">
      <alignment horizontal="center"/>
    </xf>
    <xf numFmtId="0" fontId="12" fillId="0" borderId="11" xfId="0" applyFont="1" applyBorder="1" applyAlignment="1">
      <alignment horizontal="center"/>
    </xf>
    <xf numFmtId="0" fontId="7" fillId="0" borderId="0" xfId="0" applyNumberFormat="1" applyFont="1" applyAlignment="1">
      <alignment horizontal="left" vertical="top" wrapText="1"/>
    </xf>
    <xf numFmtId="0" fontId="13" fillId="0" borderId="0" xfId="0" applyFont="1" applyFill="1" applyAlignment="1">
      <alignment horizontal="justify" vertical="top" wrapText="1"/>
    </xf>
    <xf numFmtId="0" fontId="15" fillId="0" borderId="0" xfId="0" applyFont="1" applyAlignment="1">
      <alignment/>
    </xf>
    <xf numFmtId="0" fontId="16" fillId="0" borderId="0" xfId="0" applyFont="1" applyAlignment="1">
      <alignment/>
    </xf>
    <xf numFmtId="0" fontId="17" fillId="0" borderId="0" xfId="0" applyFont="1" applyAlignment="1">
      <alignment horizontal="center" vertical="center" wrapText="1"/>
    </xf>
    <xf numFmtId="0" fontId="18" fillId="0" borderId="0" xfId="0" applyFont="1" applyAlignment="1">
      <alignment/>
    </xf>
    <xf numFmtId="0" fontId="18" fillId="0" borderId="0" xfId="0" applyFont="1" applyAlignment="1">
      <alignment horizontal="center"/>
    </xf>
    <xf numFmtId="49" fontId="16" fillId="0" borderId="12" xfId="0" applyNumberFormat="1" applyFont="1" applyBorder="1" applyAlignment="1" applyProtection="1">
      <alignment horizontal="center" vertical="center" wrapText="1"/>
      <protection locked="0"/>
    </xf>
    <xf numFmtId="0" fontId="15" fillId="0" borderId="13" xfId="0" applyFont="1" applyBorder="1" applyAlignment="1">
      <alignment horizontal="center"/>
    </xf>
    <xf numFmtId="0" fontId="15" fillId="0" borderId="14" xfId="0" applyFont="1" applyBorder="1" applyAlignment="1">
      <alignment horizontal="center"/>
    </xf>
    <xf numFmtId="0" fontId="15" fillId="0" borderId="15" xfId="0" applyFont="1" applyBorder="1" applyAlignment="1" applyProtection="1">
      <alignment horizontal="center"/>
      <protection locked="0"/>
    </xf>
    <xf numFmtId="0" fontId="15" fillId="0" borderId="15" xfId="0" applyFont="1" applyBorder="1" applyAlignment="1">
      <alignment horizontal="center"/>
    </xf>
    <xf numFmtId="0" fontId="15" fillId="0" borderId="16" xfId="0" applyFont="1" applyBorder="1" applyAlignment="1">
      <alignment horizontal="center"/>
    </xf>
    <xf numFmtId="0" fontId="15" fillId="0" borderId="10" xfId="0" applyFont="1" applyBorder="1" applyAlignment="1">
      <alignment horizontal="center"/>
    </xf>
    <xf numFmtId="49" fontId="20" fillId="0" borderId="0" xfId="0" applyNumberFormat="1" applyFont="1" applyAlignment="1">
      <alignment horizontal="center" wrapText="1"/>
    </xf>
    <xf numFmtId="0" fontId="16" fillId="0" borderId="0" xfId="0" applyFont="1" applyAlignment="1">
      <alignment horizontal="left" vertical="center" wrapText="1"/>
    </xf>
    <xf numFmtId="182" fontId="20" fillId="0" borderId="0" xfId="0" applyNumberFormat="1" applyFont="1" applyAlignment="1">
      <alignment/>
    </xf>
    <xf numFmtId="0" fontId="20" fillId="0" borderId="0" xfId="0" applyFont="1" applyAlignment="1">
      <alignment/>
    </xf>
    <xf numFmtId="0" fontId="20" fillId="0" borderId="0" xfId="0" applyFont="1" applyAlignment="1">
      <alignment vertical="justify"/>
    </xf>
    <xf numFmtId="49" fontId="20" fillId="0" borderId="0" xfId="0" applyNumberFormat="1" applyFont="1" applyFill="1" applyAlignment="1">
      <alignment horizontal="center" vertical="top" wrapText="1"/>
    </xf>
    <xf numFmtId="0" fontId="20" fillId="0" borderId="0" xfId="0" applyFont="1" applyAlignment="1">
      <alignment horizontal="justify" vertical="top" wrapText="1"/>
    </xf>
    <xf numFmtId="182" fontId="20" fillId="0" borderId="0" xfId="0" applyNumberFormat="1" applyFont="1" applyAlignment="1">
      <alignment vertical="justify"/>
    </xf>
    <xf numFmtId="0" fontId="20" fillId="0" borderId="0" xfId="0" applyFont="1" applyAlignment="1">
      <alignment vertical="top"/>
    </xf>
    <xf numFmtId="182" fontId="16" fillId="0" borderId="0" xfId="0" applyNumberFormat="1" applyFont="1" applyAlignment="1">
      <alignment vertical="justify"/>
    </xf>
    <xf numFmtId="0" fontId="16" fillId="0" borderId="0" xfId="0" applyFont="1" applyAlignment="1">
      <alignment horizontal="left" wrapText="1"/>
    </xf>
    <xf numFmtId="0" fontId="20" fillId="0" borderId="0" xfId="0" applyFont="1" applyAlignment="1">
      <alignment horizontal="left" wrapText="1"/>
    </xf>
    <xf numFmtId="0" fontId="21" fillId="0" borderId="0" xfId="0" applyFont="1" applyAlignment="1" applyProtection="1">
      <alignment horizontal="left" vertical="top" wrapText="1"/>
      <protection locked="0"/>
    </xf>
    <xf numFmtId="49" fontId="22" fillId="0" borderId="0" xfId="0" applyNumberFormat="1" applyFont="1" applyAlignment="1">
      <alignment horizontal="center"/>
    </xf>
    <xf numFmtId="0" fontId="22" fillId="0" borderId="0" xfId="0" applyNumberFormat="1" applyFont="1" applyBorder="1" applyAlignment="1" applyProtection="1">
      <alignment horizontal="left" vertical="center"/>
      <protection locked="0"/>
    </xf>
    <xf numFmtId="0" fontId="21" fillId="0" borderId="0" xfId="0" applyNumberFormat="1" applyFont="1" applyBorder="1" applyAlignment="1" applyProtection="1">
      <alignment horizontal="left" vertical="top" wrapText="1"/>
      <protection locked="0"/>
    </xf>
    <xf numFmtId="0" fontId="20" fillId="0" borderId="0" xfId="0" applyFont="1" applyAlignment="1">
      <alignment horizontal="left" vertical="top" wrapText="1"/>
    </xf>
    <xf numFmtId="49" fontId="16" fillId="0" borderId="0" xfId="0" applyNumberFormat="1" applyFont="1" applyFill="1" applyAlignment="1">
      <alignment horizontal="center" vertical="top" wrapText="1"/>
    </xf>
    <xf numFmtId="0" fontId="22" fillId="0" borderId="0" xfId="0" applyNumberFormat="1" applyFont="1" applyBorder="1" applyAlignment="1" applyProtection="1">
      <alignment horizontal="left" vertical="top" wrapText="1"/>
      <protection locked="0"/>
    </xf>
    <xf numFmtId="0" fontId="16" fillId="0" borderId="0" xfId="0" applyFont="1" applyAlignment="1">
      <alignment horizontal="left" vertical="top" wrapText="1"/>
    </xf>
    <xf numFmtId="0" fontId="20" fillId="0" borderId="0" xfId="0" applyFont="1" applyAlignment="1">
      <alignment vertical="top" wrapText="1"/>
    </xf>
    <xf numFmtId="0" fontId="22" fillId="0" borderId="0" xfId="0" applyFont="1" applyAlignment="1" applyProtection="1">
      <alignment horizontal="left" vertical="top" wrapText="1"/>
      <protection locked="0"/>
    </xf>
    <xf numFmtId="182" fontId="16" fillId="0" borderId="0" xfId="0" applyNumberFormat="1" applyFont="1" applyAlignment="1">
      <alignment vertical="top"/>
    </xf>
    <xf numFmtId="182" fontId="20" fillId="0" borderId="0" xfId="0" applyNumberFormat="1" applyFont="1" applyAlignment="1">
      <alignment vertical="top"/>
    </xf>
    <xf numFmtId="49" fontId="20" fillId="0" borderId="0" xfId="0" applyNumberFormat="1" applyFont="1" applyFill="1" applyAlignment="1">
      <alignment horizontal="center" vertical="justify" wrapText="1"/>
    </xf>
    <xf numFmtId="0" fontId="16" fillId="0" borderId="0" xfId="0" applyFont="1" applyAlignment="1">
      <alignment horizontal="justify" vertical="top" wrapText="1"/>
    </xf>
    <xf numFmtId="0" fontId="21" fillId="0" borderId="0" xfId="0" applyFont="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1" fillId="0" borderId="0" xfId="0" applyFont="1" applyFill="1" applyAlignment="1" applyProtection="1">
      <alignment horizontal="left" vertical="justify" wrapText="1"/>
      <protection locked="0"/>
    </xf>
    <xf numFmtId="0" fontId="21" fillId="0" borderId="0" xfId="0" applyFont="1" applyFill="1" applyAlignment="1" applyProtection="1">
      <alignment horizontal="left" vertical="top" wrapText="1"/>
      <protection locked="0"/>
    </xf>
    <xf numFmtId="0" fontId="21" fillId="0" borderId="0" xfId="0" applyFont="1" applyFill="1" applyAlignment="1" applyProtection="1">
      <alignment horizontal="left" vertical="top" wrapText="1"/>
      <protection locked="0"/>
    </xf>
    <xf numFmtId="190" fontId="16" fillId="0" borderId="0" xfId="0" applyNumberFormat="1" applyFont="1" applyAlignment="1">
      <alignment vertical="justify"/>
    </xf>
    <xf numFmtId="49" fontId="20" fillId="0" borderId="0" xfId="0" applyNumberFormat="1" applyFont="1" applyAlignment="1">
      <alignment horizontal="center" vertical="top" wrapText="1"/>
    </xf>
    <xf numFmtId="0" fontId="16" fillId="0" borderId="0" xfId="0" applyFont="1" applyAlignment="1">
      <alignment horizontal="left" vertical="top" wrapText="1" shrinkToFit="1"/>
    </xf>
    <xf numFmtId="49" fontId="16" fillId="0" borderId="0" xfId="0" applyNumberFormat="1" applyFont="1" applyAlignment="1">
      <alignment horizontal="center" wrapText="1"/>
    </xf>
    <xf numFmtId="49" fontId="15" fillId="0" borderId="0" xfId="0" applyNumberFormat="1" applyFont="1" applyFill="1" applyAlignment="1">
      <alignment horizontal="center" vertical="top" wrapText="1"/>
    </xf>
    <xf numFmtId="0" fontId="21" fillId="0" borderId="0" xfId="0" applyFont="1" applyAlignment="1" applyProtection="1">
      <alignment horizontal="left" vertical="top"/>
      <protection locked="0"/>
    </xf>
    <xf numFmtId="190" fontId="20" fillId="0" borderId="0" xfId="0" applyNumberFormat="1" applyFont="1" applyAlignment="1">
      <alignment vertical="top"/>
    </xf>
    <xf numFmtId="190" fontId="20" fillId="0" borderId="0" xfId="0" applyNumberFormat="1" applyFont="1" applyAlignment="1">
      <alignment vertical="justify"/>
    </xf>
    <xf numFmtId="49" fontId="22" fillId="0" borderId="0" xfId="0" applyNumberFormat="1" applyFont="1" applyAlignment="1">
      <alignment horizontal="center" vertical="top"/>
    </xf>
    <xf numFmtId="49" fontId="21" fillId="0" borderId="0" xfId="0" applyNumberFormat="1" applyFont="1" applyAlignment="1">
      <alignment horizontal="center" vertical="top"/>
    </xf>
    <xf numFmtId="49" fontId="20" fillId="0" borderId="0" xfId="0" applyNumberFormat="1" applyFont="1" applyFill="1" applyAlignment="1" applyProtection="1">
      <alignment horizontal="center" vertical="justify"/>
      <protection locked="0"/>
    </xf>
    <xf numFmtId="182" fontId="20" fillId="0" borderId="0" xfId="0" applyNumberFormat="1" applyFont="1" applyAlignment="1">
      <alignment horizontal="right" vertical="top" wrapText="1"/>
    </xf>
    <xf numFmtId="182" fontId="15" fillId="0" borderId="0" xfId="0" applyNumberFormat="1" applyFont="1" applyAlignment="1">
      <alignment vertical="justify"/>
    </xf>
    <xf numFmtId="0" fontId="16" fillId="0" borderId="0" xfId="0" applyFont="1" applyAlignment="1">
      <alignment vertical="top" wrapText="1"/>
    </xf>
    <xf numFmtId="182" fontId="16" fillId="0" borderId="0" xfId="0" applyNumberFormat="1" applyFont="1" applyAlignment="1">
      <alignment horizontal="right" vertical="top" wrapText="1"/>
    </xf>
    <xf numFmtId="49" fontId="16" fillId="0" borderId="0" xfId="0" applyNumberFormat="1" applyFont="1" applyAlignment="1">
      <alignment horizontal="center" vertical="top" wrapText="1"/>
    </xf>
    <xf numFmtId="190" fontId="20" fillId="0" borderId="0" xfId="0" applyNumberFormat="1" applyFont="1" applyFill="1" applyAlignment="1">
      <alignment vertical="justify"/>
    </xf>
    <xf numFmtId="182" fontId="20" fillId="0" borderId="0" xfId="0" applyNumberFormat="1" applyFont="1" applyFill="1" applyAlignment="1">
      <alignment vertical="justify"/>
    </xf>
    <xf numFmtId="0" fontId="24" fillId="0" borderId="0" xfId="0" applyFont="1" applyBorder="1" applyAlignment="1">
      <alignment vertical="top" wrapText="1"/>
    </xf>
    <xf numFmtId="0" fontId="20" fillId="0" borderId="0" xfId="0" applyFont="1" applyFill="1" applyBorder="1" applyAlignment="1">
      <alignment horizontal="justify" vertical="top"/>
    </xf>
    <xf numFmtId="2" fontId="20" fillId="0" borderId="0" xfId="0" applyNumberFormat="1" applyFont="1" applyBorder="1" applyAlignment="1">
      <alignment horizontal="center" vertical="center" wrapText="1"/>
    </xf>
    <xf numFmtId="49" fontId="15" fillId="0" borderId="0" xfId="0" applyNumberFormat="1" applyFont="1" applyAlignment="1">
      <alignment horizontal="center" vertical="top" wrapText="1"/>
    </xf>
    <xf numFmtId="0" fontId="15" fillId="0" borderId="0" xfId="0" applyFont="1" applyAlignment="1">
      <alignment horizontal="left" vertical="center" wrapText="1"/>
    </xf>
    <xf numFmtId="0" fontId="16" fillId="0" borderId="0" xfId="0" applyFont="1" applyAlignment="1">
      <alignment horizontal="left" vertical="center"/>
    </xf>
    <xf numFmtId="49" fontId="20" fillId="0" borderId="0" xfId="0" applyNumberFormat="1" applyFont="1" applyFill="1" applyAlignment="1">
      <alignment horizontal="center" vertical="center" wrapText="1"/>
    </xf>
    <xf numFmtId="0" fontId="20" fillId="0" borderId="0" xfId="0" applyFont="1" applyAlignment="1">
      <alignment horizontal="left" vertical="center" wrapText="1"/>
    </xf>
    <xf numFmtId="49" fontId="20" fillId="0" borderId="0" xfId="0" applyNumberFormat="1" applyFont="1" applyFill="1" applyAlignment="1">
      <alignment horizontal="center" wrapText="1"/>
    </xf>
    <xf numFmtId="0" fontId="20" fillId="0" borderId="0" xfId="0" applyNumberFormat="1" applyFont="1" applyAlignment="1">
      <alignment horizontal="justify" vertical="top" wrapText="1"/>
    </xf>
    <xf numFmtId="0" fontId="20" fillId="0" borderId="0" xfId="0" applyNumberFormat="1" applyFont="1" applyAlignment="1">
      <alignment horizontal="left" vertical="center" wrapText="1"/>
    </xf>
    <xf numFmtId="0" fontId="16" fillId="0" borderId="0" xfId="0" applyFont="1" applyAlignment="1" applyProtection="1">
      <alignment horizontal="left" vertical="top" wrapText="1"/>
      <protection locked="0"/>
    </xf>
    <xf numFmtId="182" fontId="16" fillId="0" borderId="0" xfId="0" applyNumberFormat="1" applyFont="1" applyAlignment="1">
      <alignment horizontal="right"/>
    </xf>
    <xf numFmtId="0" fontId="15" fillId="0" borderId="0" xfId="0" applyFont="1" applyAlignment="1" applyProtection="1">
      <alignment horizontal="left" vertical="top" wrapText="1"/>
      <protection locked="0"/>
    </xf>
    <xf numFmtId="0" fontId="20" fillId="0" borderId="0" xfId="0" applyFont="1" applyFill="1" applyAlignment="1">
      <alignment horizontal="justify" vertical="top" wrapText="1"/>
    </xf>
    <xf numFmtId="182" fontId="20" fillId="0" borderId="0" xfId="0" applyNumberFormat="1" applyFont="1" applyAlignment="1">
      <alignment/>
    </xf>
    <xf numFmtId="0" fontId="18" fillId="0" borderId="0" xfId="0" applyFont="1" applyAlignment="1">
      <alignment horizontal="left" wrapText="1"/>
    </xf>
    <xf numFmtId="182" fontId="17" fillId="0" borderId="0" xfId="0" applyNumberFormat="1" applyFont="1" applyAlignment="1">
      <alignment/>
    </xf>
    <xf numFmtId="2" fontId="15" fillId="0" borderId="0" xfId="0" applyNumberFormat="1" applyFont="1" applyAlignment="1">
      <alignment/>
    </xf>
    <xf numFmtId="2" fontId="18" fillId="0" borderId="0" xfId="0" applyNumberFormat="1" applyFont="1" applyAlignment="1">
      <alignment/>
    </xf>
    <xf numFmtId="2" fontId="20" fillId="0" borderId="0" xfId="0" applyNumberFormat="1" applyFont="1" applyAlignment="1">
      <alignment/>
    </xf>
    <xf numFmtId="0" fontId="17" fillId="2" borderId="0" xfId="0" applyFont="1" applyFill="1" applyAlignment="1">
      <alignment/>
    </xf>
    <xf numFmtId="190" fontId="20" fillId="0" borderId="0" xfId="0" applyNumberFormat="1" applyFont="1" applyAlignment="1">
      <alignment/>
    </xf>
    <xf numFmtId="182" fontId="21" fillId="0" borderId="0" xfId="0" applyNumberFormat="1" applyFont="1" applyBorder="1" applyAlignment="1">
      <alignment horizontal="right" vertical="top" wrapText="1"/>
    </xf>
    <xf numFmtId="190" fontId="16" fillId="0" borderId="0" xfId="0" applyNumberFormat="1" applyFont="1" applyAlignment="1">
      <alignment/>
    </xf>
    <xf numFmtId="190" fontId="16" fillId="0" borderId="0" xfId="0" applyNumberFormat="1" applyFont="1" applyAlignment="1">
      <alignment vertical="top"/>
    </xf>
    <xf numFmtId="0" fontId="25" fillId="0" borderId="0" xfId="0" applyFont="1" applyAlignment="1">
      <alignment horizontal="left" vertical="top" wrapText="1"/>
    </xf>
    <xf numFmtId="0" fontId="20" fillId="0" borderId="0" xfId="0" applyFont="1" applyBorder="1" applyAlignment="1">
      <alignment vertical="top" wrapText="1"/>
    </xf>
    <xf numFmtId="0" fontId="26" fillId="0" borderId="0" xfId="0" applyFont="1" applyAlignment="1" applyProtection="1">
      <alignment horizontal="left" vertical="top" wrapText="1"/>
      <protection locked="0"/>
    </xf>
    <xf numFmtId="0" fontId="27" fillId="0" borderId="0" xfId="0" applyFont="1" applyFill="1" applyAlignment="1">
      <alignment horizontal="justify" vertical="top" wrapText="1"/>
    </xf>
    <xf numFmtId="190" fontId="16" fillId="0" borderId="0" xfId="0" applyNumberFormat="1" applyFont="1" applyAlignment="1">
      <alignment horizontal="right" wrapText="1"/>
    </xf>
    <xf numFmtId="190" fontId="16" fillId="0" borderId="0" xfId="0" applyNumberFormat="1" applyFont="1" applyAlignment="1">
      <alignment horizontal="right" vertical="top" wrapText="1"/>
    </xf>
    <xf numFmtId="190" fontId="20" fillId="0" borderId="0" xfId="0" applyNumberFormat="1" applyFont="1" applyAlignment="1">
      <alignment/>
    </xf>
    <xf numFmtId="49" fontId="20" fillId="0" borderId="0" xfId="0" applyNumberFormat="1" applyFont="1" applyAlignment="1">
      <alignment vertical="top"/>
    </xf>
    <xf numFmtId="0" fontId="7" fillId="0" borderId="0" xfId="0" applyFont="1" applyAlignment="1">
      <alignment wrapText="1"/>
    </xf>
    <xf numFmtId="2" fontId="20" fillId="0" borderId="0" xfId="0" applyNumberFormat="1" applyFont="1" applyBorder="1" applyAlignment="1" quotePrefix="1">
      <alignment vertical="top" wrapText="1"/>
    </xf>
    <xf numFmtId="0" fontId="25" fillId="0" borderId="0" xfId="0" applyFont="1" applyAlignment="1">
      <alignment vertical="top" wrapText="1"/>
    </xf>
    <xf numFmtId="0" fontId="42" fillId="0" borderId="0" xfId="0" applyNumberFormat="1" applyFont="1" applyBorder="1" applyAlignment="1" applyProtection="1">
      <alignment horizontal="left" vertical="top" wrapText="1"/>
      <protection locked="0"/>
    </xf>
    <xf numFmtId="49" fontId="20" fillId="0" borderId="0" xfId="0" applyNumberFormat="1" applyFont="1" applyAlignment="1">
      <alignment/>
    </xf>
    <xf numFmtId="49" fontId="20" fillId="0" borderId="0" xfId="0" applyNumberFormat="1" applyFont="1" applyAlignment="1">
      <alignment vertical="justify"/>
    </xf>
    <xf numFmtId="49" fontId="16" fillId="0" borderId="0" xfId="0" applyNumberFormat="1" applyFont="1" applyAlignment="1">
      <alignment vertical="top"/>
    </xf>
    <xf numFmtId="49" fontId="20" fillId="0" borderId="0" xfId="0" applyNumberFormat="1" applyFont="1" applyFill="1" applyAlignment="1">
      <alignment vertical="top"/>
    </xf>
    <xf numFmtId="49" fontId="15" fillId="0" borderId="0" xfId="0" applyNumberFormat="1" applyFont="1" applyAlignment="1">
      <alignment vertical="top"/>
    </xf>
    <xf numFmtId="0" fontId="20" fillId="0" borderId="0" xfId="0" applyFont="1" applyBorder="1" applyAlignment="1" quotePrefix="1">
      <alignment horizontal="center" vertical="center" wrapText="1"/>
    </xf>
    <xf numFmtId="0" fontId="15" fillId="0" borderId="0" xfId="0" applyFont="1" applyAlignment="1">
      <alignment vertical="top"/>
    </xf>
    <xf numFmtId="182" fontId="20" fillId="0" borderId="0" xfId="0" applyNumberFormat="1" applyFont="1" applyAlignment="1">
      <alignment horizontal="center" vertical="justify"/>
    </xf>
    <xf numFmtId="0" fontId="18" fillId="0" borderId="0" xfId="0" applyFont="1" applyAlignment="1">
      <alignment horizontal="right"/>
    </xf>
    <xf numFmtId="0" fontId="16" fillId="0" borderId="12"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49" fontId="16" fillId="0" borderId="19" xfId="0" applyNumberFormat="1" applyFont="1" applyBorder="1" applyAlignment="1" applyProtection="1">
      <alignment horizontal="center" vertical="center" wrapText="1"/>
      <protection locked="0"/>
    </xf>
    <xf numFmtId="49" fontId="16" fillId="0" borderId="20" xfId="0" applyNumberFormat="1" applyFont="1" applyBorder="1" applyAlignment="1" applyProtection="1">
      <alignment horizontal="center" vertical="center" wrapText="1"/>
      <protection locked="0"/>
    </xf>
    <xf numFmtId="49" fontId="19" fillId="0" borderId="21" xfId="0" applyNumberFormat="1" applyFont="1" applyBorder="1" applyAlignment="1" applyProtection="1">
      <alignment horizontal="center" vertical="center" wrapText="1"/>
      <protection locked="0"/>
    </xf>
    <xf numFmtId="49" fontId="19" fillId="0" borderId="22" xfId="0" applyNumberFormat="1" applyFont="1" applyBorder="1" applyAlignment="1" applyProtection="1">
      <alignment horizontal="center" vertical="center" wrapText="1"/>
      <protection locked="0"/>
    </xf>
    <xf numFmtId="49" fontId="19" fillId="0" borderId="23" xfId="0" applyNumberFormat="1" applyFont="1" applyBorder="1" applyAlignment="1" applyProtection="1">
      <alignment horizontal="center" vertical="center" wrapText="1"/>
      <protection locked="0"/>
    </xf>
    <xf numFmtId="49" fontId="16" fillId="0" borderId="21" xfId="0" applyNumberFormat="1" applyFont="1" applyBorder="1" applyAlignment="1" applyProtection="1">
      <alignment horizontal="center" vertical="center" wrapText="1"/>
      <protection locked="0"/>
    </xf>
    <xf numFmtId="49" fontId="16" fillId="0" borderId="23" xfId="0" applyNumberFormat="1" applyFont="1" applyBorder="1" applyAlignment="1" applyProtection="1">
      <alignment horizontal="center" vertical="center" wrapText="1"/>
      <protection locked="0"/>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49" fontId="19" fillId="0" borderId="28" xfId="0" applyNumberFormat="1" applyFont="1" applyBorder="1" applyAlignment="1" applyProtection="1">
      <alignment horizontal="center" vertical="center" wrapText="1"/>
      <protection locked="0"/>
    </xf>
    <xf numFmtId="49" fontId="19" fillId="0" borderId="29" xfId="0" applyNumberFormat="1" applyFont="1" applyBorder="1" applyAlignment="1" applyProtection="1">
      <alignment horizontal="center" vertical="center" wrapText="1"/>
      <protection locked="0"/>
    </xf>
    <xf numFmtId="49" fontId="19" fillId="0" borderId="30" xfId="0" applyNumberFormat="1" applyFont="1" applyBorder="1" applyAlignment="1" applyProtection="1">
      <alignment horizontal="center" vertical="center" wrapText="1"/>
      <protection locked="0"/>
    </xf>
    <xf numFmtId="49" fontId="16" fillId="0" borderId="31" xfId="0" applyNumberFormat="1" applyFont="1" applyBorder="1" applyAlignment="1" applyProtection="1">
      <alignment horizontal="center" vertical="center" wrapText="1"/>
      <protection locked="0"/>
    </xf>
    <xf numFmtId="49" fontId="16" fillId="0" borderId="24" xfId="0" applyNumberFormat="1" applyFont="1" applyBorder="1" applyAlignment="1" applyProtection="1">
      <alignment horizontal="center" vertical="center" wrapText="1"/>
      <protection locked="0"/>
    </xf>
    <xf numFmtId="49" fontId="16" fillId="0" borderId="22" xfId="0" applyNumberFormat="1" applyFont="1" applyBorder="1" applyAlignment="1" applyProtection="1">
      <alignment horizontal="center" vertical="center" wrapText="1"/>
      <protection locked="0"/>
    </xf>
    <xf numFmtId="49" fontId="16" fillId="0" borderId="27" xfId="0" applyNumberFormat="1" applyFont="1" applyBorder="1" applyAlignment="1" applyProtection="1">
      <alignment horizontal="center" vertical="center" wrapText="1"/>
      <protection locked="0"/>
    </xf>
    <xf numFmtId="49" fontId="27" fillId="0" borderId="21" xfId="0" applyNumberFormat="1" applyFont="1" applyBorder="1" applyAlignment="1" applyProtection="1">
      <alignment horizontal="center" vertical="center" wrapText="1"/>
      <protection locked="0"/>
    </xf>
    <xf numFmtId="49" fontId="27" fillId="0" borderId="23" xfId="0" applyNumberFormat="1" applyFont="1" applyBorder="1" applyAlignment="1" applyProtection="1">
      <alignment horizontal="center" vertical="center" wrapText="1"/>
      <protection locked="0"/>
    </xf>
    <xf numFmtId="0" fontId="16" fillId="0" borderId="0" xfId="0" applyFont="1" applyFill="1" applyAlignment="1">
      <alignment vertical="center" wrapText="1"/>
    </xf>
    <xf numFmtId="49" fontId="13" fillId="0" borderId="21" xfId="0" applyNumberFormat="1" applyFont="1" applyBorder="1" applyAlignment="1">
      <alignment horizontal="center" vertical="center" wrapText="1"/>
    </xf>
    <xf numFmtId="49" fontId="13" fillId="0" borderId="22" xfId="0" applyNumberFormat="1" applyFont="1" applyBorder="1" applyAlignment="1">
      <alignment horizontal="center" vertical="center" wrapText="1"/>
    </xf>
    <xf numFmtId="49" fontId="13" fillId="0" borderId="23" xfId="0" applyNumberFormat="1" applyFont="1" applyBorder="1" applyAlignment="1">
      <alignment horizontal="center" vertical="center" wrapText="1"/>
    </xf>
    <xf numFmtId="49" fontId="16" fillId="0" borderId="32" xfId="0" applyNumberFormat="1" applyFont="1" applyBorder="1" applyAlignment="1" applyProtection="1">
      <alignment horizontal="center" vertical="center" wrapText="1"/>
      <protection locked="0"/>
    </xf>
    <xf numFmtId="49" fontId="16" fillId="0" borderId="33" xfId="0" applyNumberFormat="1" applyFont="1" applyBorder="1" applyAlignment="1" applyProtection="1">
      <alignment horizontal="center" vertical="center" wrapText="1"/>
      <protection locked="0"/>
    </xf>
    <xf numFmtId="49" fontId="16" fillId="0" borderId="11" xfId="0" applyNumberFormat="1" applyFont="1" applyBorder="1" applyAlignment="1" applyProtection="1">
      <alignment horizontal="center" vertical="center" wrapText="1"/>
      <protection locked="0"/>
    </xf>
    <xf numFmtId="49" fontId="16" fillId="0" borderId="21" xfId="0" applyNumberFormat="1" applyFont="1" applyBorder="1" applyAlignment="1">
      <alignment horizontal="center" vertical="center" wrapText="1"/>
    </xf>
    <xf numFmtId="49" fontId="16" fillId="0" borderId="22" xfId="0" applyNumberFormat="1" applyFont="1" applyBorder="1" applyAlignment="1">
      <alignment horizontal="center" vertical="center" wrapText="1"/>
    </xf>
    <xf numFmtId="49" fontId="16" fillId="0" borderId="23" xfId="0" applyNumberFormat="1" applyFont="1" applyBorder="1" applyAlignment="1">
      <alignment horizontal="center" vertical="center" wrapText="1"/>
    </xf>
    <xf numFmtId="49" fontId="27" fillId="0" borderId="0" xfId="0" applyNumberFormat="1" applyFont="1" applyBorder="1" applyAlignment="1" applyProtection="1">
      <alignment horizontal="center" vertical="center" wrapText="1"/>
      <protection locked="0"/>
    </xf>
    <xf numFmtId="49" fontId="27" fillId="0" borderId="13"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85"/>
  <sheetViews>
    <sheetView tabSelected="1" view="pageBreakPreview" zoomScale="50" zoomScaleNormal="60" zoomScaleSheetLayoutView="50" zoomScalePageLayoutView="50" workbookViewId="0" topLeftCell="F96">
      <selection activeCell="O64" sqref="O64"/>
    </sheetView>
  </sheetViews>
  <sheetFormatPr defaultColWidth="9.00390625" defaultRowHeight="12.75"/>
  <cols>
    <col min="1" max="1" width="19.125" style="1" customWidth="1"/>
    <col min="2" max="2" width="12.25390625" style="1" customWidth="1"/>
    <col min="3" max="3" width="13.625" style="1" customWidth="1"/>
    <col min="4" max="4" width="89.875" style="1" customWidth="1"/>
    <col min="5" max="5" width="28.875" style="1" customWidth="1"/>
    <col min="6" max="6" width="29.25390625" style="1" customWidth="1"/>
    <col min="7" max="7" width="25.375" style="1" customWidth="1"/>
    <col min="8" max="8" width="23.125" style="1" customWidth="1"/>
    <col min="9" max="9" width="21.00390625" style="1" customWidth="1"/>
    <col min="10" max="10" width="23.75390625" style="1" customWidth="1"/>
    <col min="11" max="11" width="21.00390625" style="1" customWidth="1"/>
    <col min="12" max="13" width="20.25390625" style="1" customWidth="1"/>
    <col min="14" max="14" width="24.25390625" style="1" customWidth="1"/>
    <col min="15" max="15" width="25.00390625" style="1" customWidth="1"/>
    <col min="16" max="16" width="28.125" style="1" customWidth="1"/>
    <col min="17" max="17" width="9.375" style="1" bestFit="1" customWidth="1"/>
    <col min="18" max="16384" width="9.125" style="1" customWidth="1"/>
  </cols>
  <sheetData>
    <row r="1" spans="1:16" ht="20.25">
      <c r="A1" s="20"/>
      <c r="B1" s="20"/>
      <c r="C1" s="20"/>
      <c r="D1" s="20"/>
      <c r="E1" s="20"/>
      <c r="F1" s="20"/>
      <c r="G1" s="20"/>
      <c r="H1" s="20"/>
      <c r="I1" s="20"/>
      <c r="J1" s="20"/>
      <c r="K1" s="20"/>
      <c r="L1" s="20"/>
      <c r="M1" s="20"/>
      <c r="N1" s="20"/>
      <c r="O1" s="20"/>
      <c r="P1" s="20"/>
    </row>
    <row r="2" spans="1:16" ht="20.25">
      <c r="A2" s="20"/>
      <c r="B2" s="20"/>
      <c r="C2" s="20"/>
      <c r="D2" s="20"/>
      <c r="E2" s="20"/>
      <c r="F2" s="20"/>
      <c r="G2" s="20"/>
      <c r="H2" s="20"/>
      <c r="I2" s="20"/>
      <c r="J2" s="20"/>
      <c r="K2" s="20" t="s">
        <v>14</v>
      </c>
      <c r="L2" s="20"/>
      <c r="M2" s="20"/>
      <c r="N2" s="20" t="s">
        <v>333</v>
      </c>
      <c r="O2" s="20"/>
      <c r="P2" s="20"/>
    </row>
    <row r="3" spans="1:16" ht="20.25">
      <c r="A3" s="20"/>
      <c r="B3" s="20"/>
      <c r="C3" s="20"/>
      <c r="D3" s="20"/>
      <c r="E3" s="20"/>
      <c r="F3" s="20"/>
      <c r="G3" s="20"/>
      <c r="H3" s="20"/>
      <c r="I3" s="20"/>
      <c r="J3" s="20"/>
      <c r="K3" s="20" t="s">
        <v>14</v>
      </c>
      <c r="L3" s="20"/>
      <c r="M3" s="20"/>
      <c r="N3" s="20" t="s">
        <v>298</v>
      </c>
      <c r="O3" s="20"/>
      <c r="P3" s="20"/>
    </row>
    <row r="4" spans="1:16" ht="20.25">
      <c r="A4" s="20"/>
      <c r="B4" s="20"/>
      <c r="C4" s="20"/>
      <c r="D4" s="20"/>
      <c r="E4" s="20"/>
      <c r="F4" s="20"/>
      <c r="G4" s="20"/>
      <c r="H4" s="20"/>
      <c r="I4" s="20"/>
      <c r="J4" s="20"/>
      <c r="K4" s="20"/>
      <c r="L4" s="20"/>
      <c r="M4" s="20"/>
      <c r="N4" s="20" t="s">
        <v>410</v>
      </c>
      <c r="O4" s="20"/>
      <c r="P4" s="20"/>
    </row>
    <row r="5" spans="1:16" ht="20.25">
      <c r="A5" s="20"/>
      <c r="B5" s="20"/>
      <c r="C5" s="20"/>
      <c r="D5" s="20"/>
      <c r="E5" s="20"/>
      <c r="F5" s="20"/>
      <c r="G5" s="20"/>
      <c r="H5" s="20"/>
      <c r="I5" s="20"/>
      <c r="J5" s="20"/>
      <c r="K5" s="20"/>
      <c r="L5" s="20"/>
      <c r="M5" s="20"/>
      <c r="N5" s="22"/>
      <c r="O5" s="20"/>
      <c r="P5" s="20"/>
    </row>
    <row r="6" spans="1:16" ht="20.25">
      <c r="A6" s="20"/>
      <c r="B6" s="20"/>
      <c r="C6" s="20"/>
      <c r="D6" s="20"/>
      <c r="E6" s="20"/>
      <c r="F6" s="20"/>
      <c r="G6" s="20"/>
      <c r="H6" s="20"/>
      <c r="I6" s="20"/>
      <c r="J6" s="20"/>
      <c r="K6" s="20" t="s">
        <v>14</v>
      </c>
      <c r="L6" s="20"/>
      <c r="M6" s="20"/>
      <c r="N6" s="20"/>
      <c r="O6" s="20"/>
      <c r="P6" s="20"/>
    </row>
    <row r="7" spans="1:16" ht="27.75">
      <c r="A7" s="23"/>
      <c r="B7" s="23"/>
      <c r="C7" s="28"/>
      <c r="D7" s="28"/>
      <c r="E7" s="28"/>
      <c r="F7" s="28"/>
      <c r="G7" s="29" t="s">
        <v>299</v>
      </c>
      <c r="H7" s="28"/>
      <c r="I7" s="28"/>
      <c r="J7" s="28"/>
      <c r="K7" s="28"/>
      <c r="L7" s="28"/>
      <c r="M7" s="28"/>
      <c r="N7" s="28"/>
      <c r="O7" s="28"/>
      <c r="P7" s="23"/>
    </row>
    <row r="8" spans="1:16" ht="27" customHeight="1">
      <c r="A8" s="23"/>
      <c r="B8" s="23"/>
      <c r="C8" s="28"/>
      <c r="D8" s="30"/>
      <c r="E8" s="159" t="s">
        <v>360</v>
      </c>
      <c r="F8" s="159"/>
      <c r="G8" s="159"/>
      <c r="H8" s="159"/>
      <c r="I8" s="159"/>
      <c r="J8" s="159"/>
      <c r="K8" s="30"/>
      <c r="L8" s="30"/>
      <c r="M8" s="30"/>
      <c r="N8" s="30"/>
      <c r="O8" s="31"/>
      <c r="P8" s="23"/>
    </row>
    <row r="9" spans="1:16" ht="27.75" thickBot="1">
      <c r="A9" s="23"/>
      <c r="B9" s="23"/>
      <c r="C9" s="32"/>
      <c r="D9" s="32"/>
      <c r="E9" s="32"/>
      <c r="F9" s="32"/>
      <c r="G9" s="32"/>
      <c r="H9" s="32"/>
      <c r="I9" s="32"/>
      <c r="J9" s="32"/>
      <c r="K9" s="32"/>
      <c r="L9" s="32"/>
      <c r="M9" s="32"/>
      <c r="N9" s="32"/>
      <c r="O9" s="32"/>
      <c r="P9" s="23"/>
    </row>
    <row r="10" spans="1:16" ht="51.75" customHeight="1" thickBot="1">
      <c r="A10" s="160" t="s">
        <v>124</v>
      </c>
      <c r="B10" s="160" t="s">
        <v>189</v>
      </c>
      <c r="C10" s="166" t="s">
        <v>168</v>
      </c>
      <c r="D10" s="166" t="s">
        <v>143</v>
      </c>
      <c r="E10" s="136" t="s">
        <v>141</v>
      </c>
      <c r="F10" s="137"/>
      <c r="G10" s="137"/>
      <c r="H10" s="137"/>
      <c r="I10" s="138"/>
      <c r="J10" s="136" t="s">
        <v>142</v>
      </c>
      <c r="K10" s="137"/>
      <c r="L10" s="137"/>
      <c r="M10" s="137"/>
      <c r="N10" s="137"/>
      <c r="O10" s="137"/>
      <c r="P10" s="146" t="s">
        <v>125</v>
      </c>
    </row>
    <row r="11" spans="1:16" ht="26.25" customHeight="1" thickBot="1">
      <c r="A11" s="161"/>
      <c r="B11" s="161"/>
      <c r="C11" s="167"/>
      <c r="D11" s="167"/>
      <c r="E11" s="163" t="s">
        <v>1</v>
      </c>
      <c r="F11" s="150" t="s">
        <v>126</v>
      </c>
      <c r="G11" s="139" t="s">
        <v>2</v>
      </c>
      <c r="H11" s="153"/>
      <c r="I11" s="141" t="s">
        <v>127</v>
      </c>
      <c r="J11" s="154" t="s">
        <v>1</v>
      </c>
      <c r="K11" s="150" t="s">
        <v>126</v>
      </c>
      <c r="L11" s="139" t="s">
        <v>2</v>
      </c>
      <c r="M11" s="140"/>
      <c r="N11" s="154" t="s">
        <v>127</v>
      </c>
      <c r="O11" s="33" t="s">
        <v>2</v>
      </c>
      <c r="P11" s="147"/>
    </row>
    <row r="12" spans="1:16" ht="18" customHeight="1">
      <c r="A12" s="161"/>
      <c r="B12" s="161"/>
      <c r="C12" s="167"/>
      <c r="D12" s="167"/>
      <c r="E12" s="164"/>
      <c r="F12" s="151"/>
      <c r="G12" s="144" t="s">
        <v>3</v>
      </c>
      <c r="H12" s="157" t="s">
        <v>4</v>
      </c>
      <c r="I12" s="142"/>
      <c r="J12" s="155"/>
      <c r="K12" s="151"/>
      <c r="L12" s="144" t="s">
        <v>3</v>
      </c>
      <c r="M12" s="169" t="s">
        <v>4</v>
      </c>
      <c r="N12" s="155"/>
      <c r="O12" s="144" t="s">
        <v>128</v>
      </c>
      <c r="P12" s="148"/>
    </row>
    <row r="13" spans="1:16" ht="103.5" customHeight="1" thickBot="1">
      <c r="A13" s="162"/>
      <c r="B13" s="162"/>
      <c r="C13" s="168"/>
      <c r="D13" s="168"/>
      <c r="E13" s="165"/>
      <c r="F13" s="152"/>
      <c r="G13" s="145"/>
      <c r="H13" s="158"/>
      <c r="I13" s="143"/>
      <c r="J13" s="156"/>
      <c r="K13" s="152"/>
      <c r="L13" s="145"/>
      <c r="M13" s="170"/>
      <c r="N13" s="156"/>
      <c r="O13" s="145"/>
      <c r="P13" s="149"/>
    </row>
    <row r="14" spans="1:16" ht="13.5" customHeight="1" hidden="1" thickBot="1">
      <c r="A14" s="24">
        <v>1</v>
      </c>
      <c r="B14" s="24"/>
      <c r="C14" s="34"/>
      <c r="D14" s="35">
        <v>3</v>
      </c>
      <c r="E14" s="36">
        <v>4</v>
      </c>
      <c r="F14" s="36">
        <v>5</v>
      </c>
      <c r="G14" s="36">
        <v>6</v>
      </c>
      <c r="H14" s="36">
        <v>7</v>
      </c>
      <c r="I14" s="36">
        <v>8</v>
      </c>
      <c r="J14" s="37">
        <v>9</v>
      </c>
      <c r="K14" s="37">
        <v>10</v>
      </c>
      <c r="L14" s="37">
        <v>11</v>
      </c>
      <c r="M14" s="37">
        <v>12</v>
      </c>
      <c r="N14" s="38">
        <v>13</v>
      </c>
      <c r="O14" s="39">
        <v>14</v>
      </c>
      <c r="P14" s="25" t="s">
        <v>129</v>
      </c>
    </row>
    <row r="15" spans="1:16" ht="23.25" customHeight="1">
      <c r="A15" s="127" t="s">
        <v>20</v>
      </c>
      <c r="B15" s="127"/>
      <c r="C15" s="40"/>
      <c r="D15" s="41" t="s">
        <v>11</v>
      </c>
      <c r="E15" s="42"/>
      <c r="F15" s="42"/>
      <c r="G15" s="42"/>
      <c r="H15" s="42"/>
      <c r="I15" s="42"/>
      <c r="J15" s="43"/>
      <c r="K15" s="43"/>
      <c r="L15" s="43"/>
      <c r="M15" s="43"/>
      <c r="N15" s="43"/>
      <c r="O15" s="44"/>
      <c r="P15" s="19"/>
    </row>
    <row r="16" spans="1:16" ht="29.25" customHeight="1">
      <c r="A16" s="127" t="s">
        <v>21</v>
      </c>
      <c r="B16" s="127"/>
      <c r="C16" s="40"/>
      <c r="D16" s="41" t="s">
        <v>11</v>
      </c>
      <c r="E16" s="42"/>
      <c r="F16" s="42"/>
      <c r="G16" s="42"/>
      <c r="H16" s="42"/>
      <c r="I16" s="42"/>
      <c r="J16" s="43"/>
      <c r="K16" s="43"/>
      <c r="L16" s="43"/>
      <c r="M16" s="43"/>
      <c r="N16" s="43"/>
      <c r="O16" s="44"/>
      <c r="P16" s="19"/>
    </row>
    <row r="17" spans="1:16" ht="145.5" customHeight="1">
      <c r="A17" s="122" t="s">
        <v>131</v>
      </c>
      <c r="B17" s="122" t="s">
        <v>190</v>
      </c>
      <c r="C17" s="45" t="s">
        <v>169</v>
      </c>
      <c r="D17" s="46" t="s">
        <v>366</v>
      </c>
      <c r="E17" s="47">
        <f>F17+I17</f>
        <v>2048.3</v>
      </c>
      <c r="F17" s="47">
        <f>1635.3+367+20+26</f>
        <v>2048.3</v>
      </c>
      <c r="G17" s="47">
        <f>1107.5+284+20</f>
        <v>1411.5</v>
      </c>
      <c r="H17" s="47">
        <v>160.9</v>
      </c>
      <c r="I17" s="47"/>
      <c r="J17" s="48">
        <f>K17+N17</f>
        <v>0.084</v>
      </c>
      <c r="K17" s="47">
        <v>0.084</v>
      </c>
      <c r="L17" s="47"/>
      <c r="M17" s="47"/>
      <c r="N17" s="47">
        <f>O17</f>
        <v>0</v>
      </c>
      <c r="O17" s="47"/>
      <c r="P17" s="63">
        <f>J17+E17</f>
        <v>2048.384</v>
      </c>
    </row>
    <row r="18" spans="1:16" ht="30" customHeight="1">
      <c r="A18" s="127"/>
      <c r="B18" s="127"/>
      <c r="C18" s="40"/>
      <c r="D18" s="41" t="s">
        <v>1</v>
      </c>
      <c r="E18" s="49">
        <f>F18+I18</f>
        <v>2048.3</v>
      </c>
      <c r="F18" s="49">
        <f>F17</f>
        <v>2048.3</v>
      </c>
      <c r="G18" s="49">
        <f aca="true" t="shared" si="0" ref="G18:O18">G17</f>
        <v>1411.5</v>
      </c>
      <c r="H18" s="49">
        <f t="shared" si="0"/>
        <v>160.9</v>
      </c>
      <c r="I18" s="49">
        <f t="shared" si="0"/>
        <v>0</v>
      </c>
      <c r="J18" s="49">
        <f t="shared" si="0"/>
        <v>0.084</v>
      </c>
      <c r="K18" s="49">
        <f t="shared" si="0"/>
        <v>0.084</v>
      </c>
      <c r="L18" s="49">
        <f t="shared" si="0"/>
        <v>0</v>
      </c>
      <c r="M18" s="49">
        <f t="shared" si="0"/>
        <v>0</v>
      </c>
      <c r="N18" s="49">
        <f t="shared" si="0"/>
        <v>0</v>
      </c>
      <c r="O18" s="49">
        <f t="shared" si="0"/>
        <v>0</v>
      </c>
      <c r="P18" s="49">
        <f>J18+E18</f>
        <v>2048.384</v>
      </c>
    </row>
    <row r="19" spans="1:16" s="6" customFormat="1" ht="27.75">
      <c r="A19" s="127" t="s">
        <v>22</v>
      </c>
      <c r="B19" s="127"/>
      <c r="C19" s="40"/>
      <c r="D19" s="50" t="s">
        <v>12</v>
      </c>
      <c r="E19" s="47"/>
      <c r="F19" s="47"/>
      <c r="G19" s="47"/>
      <c r="H19" s="47"/>
      <c r="I19" s="47"/>
      <c r="J19" s="47"/>
      <c r="K19" s="47"/>
      <c r="L19" s="47"/>
      <c r="M19" s="47"/>
      <c r="N19" s="47"/>
      <c r="O19" s="47"/>
      <c r="P19" s="42"/>
    </row>
    <row r="20" spans="1:16" s="6" customFormat="1" ht="27.75">
      <c r="A20" s="127" t="s">
        <v>23</v>
      </c>
      <c r="B20" s="127"/>
      <c r="C20" s="40"/>
      <c r="D20" s="50" t="s">
        <v>12</v>
      </c>
      <c r="E20" s="47"/>
      <c r="F20" s="47"/>
      <c r="G20" s="47"/>
      <c r="H20" s="47"/>
      <c r="I20" s="47"/>
      <c r="J20" s="47"/>
      <c r="K20" s="47"/>
      <c r="L20" s="47"/>
      <c r="M20" s="47"/>
      <c r="N20" s="47"/>
      <c r="O20" s="47"/>
      <c r="P20" s="42"/>
    </row>
    <row r="21" spans="1:16" s="6" customFormat="1" ht="36.75" customHeight="1">
      <c r="A21" s="127" t="s">
        <v>133</v>
      </c>
      <c r="B21" s="127" t="s">
        <v>191</v>
      </c>
      <c r="C21" s="45" t="s">
        <v>170</v>
      </c>
      <c r="D21" s="51" t="s">
        <v>100</v>
      </c>
      <c r="E21" s="47">
        <f>E22</f>
        <v>56.54</v>
      </c>
      <c r="F21" s="47">
        <f>F22</f>
        <v>56.54</v>
      </c>
      <c r="G21" s="47"/>
      <c r="H21" s="47"/>
      <c r="I21" s="47"/>
      <c r="J21" s="47"/>
      <c r="K21" s="47"/>
      <c r="L21" s="47"/>
      <c r="M21" s="47"/>
      <c r="N21" s="47"/>
      <c r="O21" s="47"/>
      <c r="P21" s="42">
        <f>J21+E21</f>
        <v>56.54</v>
      </c>
    </row>
    <row r="22" spans="1:16" s="6" customFormat="1" ht="66" customHeight="1">
      <c r="A22" s="128" t="s">
        <v>134</v>
      </c>
      <c r="B22" s="128" t="s">
        <v>192</v>
      </c>
      <c r="C22" s="45" t="s">
        <v>170</v>
      </c>
      <c r="D22" s="52" t="s">
        <v>24</v>
      </c>
      <c r="E22" s="47">
        <f>F22+I22</f>
        <v>56.54</v>
      </c>
      <c r="F22" s="47">
        <v>56.54</v>
      </c>
      <c r="G22" s="47"/>
      <c r="H22" s="47"/>
      <c r="I22" s="47"/>
      <c r="J22" s="47"/>
      <c r="K22" s="47"/>
      <c r="L22" s="47"/>
      <c r="M22" s="47"/>
      <c r="N22" s="47"/>
      <c r="O22" s="47"/>
      <c r="P22" s="63">
        <f>J22+E22</f>
        <v>56.54</v>
      </c>
    </row>
    <row r="23" spans="1:16" s="6" customFormat="1" ht="43.5" customHeight="1">
      <c r="A23" s="127" t="s">
        <v>25</v>
      </c>
      <c r="B23" s="127" t="s">
        <v>279</v>
      </c>
      <c r="C23" s="53"/>
      <c r="D23" s="54" t="s">
        <v>18</v>
      </c>
      <c r="E23" s="49">
        <f>F23+I23</f>
        <v>36198.886000000006</v>
      </c>
      <c r="F23" s="49">
        <f>F36+F27+F39+F33</f>
        <v>36198.886000000006</v>
      </c>
      <c r="G23" s="49">
        <f aca="true" t="shared" si="1" ref="G23:O23">G36+G27+G39</f>
        <v>0</v>
      </c>
      <c r="H23" s="49">
        <f t="shared" si="1"/>
        <v>0</v>
      </c>
      <c r="I23" s="49">
        <f t="shared" si="1"/>
        <v>0</v>
      </c>
      <c r="J23" s="49">
        <f t="shared" si="1"/>
        <v>5885.299999999999</v>
      </c>
      <c r="K23" s="49">
        <f t="shared" si="1"/>
        <v>384.5</v>
      </c>
      <c r="L23" s="49">
        <f t="shared" si="1"/>
        <v>0</v>
      </c>
      <c r="M23" s="49">
        <f t="shared" si="1"/>
        <v>0</v>
      </c>
      <c r="N23" s="49">
        <f t="shared" si="1"/>
        <v>5500.799999999999</v>
      </c>
      <c r="O23" s="49">
        <f t="shared" si="1"/>
        <v>5500.799999999999</v>
      </c>
      <c r="P23" s="62">
        <f>E23+J23</f>
        <v>42084.186</v>
      </c>
    </row>
    <row r="24" spans="1:16" s="6" customFormat="1" ht="39" customHeight="1">
      <c r="A24" s="127"/>
      <c r="B24" s="127"/>
      <c r="C24" s="53"/>
      <c r="D24" s="54" t="s">
        <v>245</v>
      </c>
      <c r="E24" s="49">
        <f>E28+E37</f>
        <v>28900.945</v>
      </c>
      <c r="F24" s="49">
        <f>F28+F37+F34</f>
        <v>29132.545</v>
      </c>
      <c r="G24" s="49">
        <f>G28+G37</f>
        <v>0</v>
      </c>
      <c r="H24" s="49">
        <f>H28</f>
        <v>0</v>
      </c>
      <c r="I24" s="49"/>
      <c r="J24" s="49"/>
      <c r="K24" s="49"/>
      <c r="L24" s="49"/>
      <c r="M24" s="49"/>
      <c r="N24" s="49"/>
      <c r="O24" s="49"/>
      <c r="P24" s="62">
        <f>E24+J24</f>
        <v>28900.945</v>
      </c>
    </row>
    <row r="25" spans="1:16" s="6" customFormat="1" ht="85.5" customHeight="1">
      <c r="A25" s="127"/>
      <c r="B25" s="127"/>
      <c r="C25" s="53"/>
      <c r="D25" s="55" t="s">
        <v>377</v>
      </c>
      <c r="E25" s="47">
        <f>F25</f>
        <v>178.745</v>
      </c>
      <c r="F25" s="47">
        <f>F29+F38</f>
        <v>178.745</v>
      </c>
      <c r="G25" s="49"/>
      <c r="H25" s="49"/>
      <c r="I25" s="49"/>
      <c r="J25" s="49"/>
      <c r="K25" s="49"/>
      <c r="L25" s="49"/>
      <c r="M25" s="49"/>
      <c r="N25" s="49"/>
      <c r="O25" s="49"/>
      <c r="P25" s="63">
        <f>E25+J25</f>
        <v>178.745</v>
      </c>
    </row>
    <row r="26" spans="1:16" s="6" customFormat="1" ht="130.5" customHeight="1">
      <c r="A26" s="127"/>
      <c r="B26" s="127"/>
      <c r="C26" s="53"/>
      <c r="D26" s="56" t="s">
        <v>374</v>
      </c>
      <c r="E26" s="47">
        <f>F26</f>
        <v>520</v>
      </c>
      <c r="F26" s="47">
        <v>520</v>
      </c>
      <c r="G26" s="49"/>
      <c r="H26" s="49"/>
      <c r="I26" s="49"/>
      <c r="J26" s="49"/>
      <c r="K26" s="49"/>
      <c r="L26" s="49"/>
      <c r="M26" s="49"/>
      <c r="N26" s="49"/>
      <c r="O26" s="49"/>
      <c r="P26" s="63">
        <f>E26+J26</f>
        <v>520</v>
      </c>
    </row>
    <row r="27" spans="1:16" s="6" customFormat="1" ht="61.5" customHeight="1">
      <c r="A27" s="129" t="s">
        <v>162</v>
      </c>
      <c r="B27" s="129" t="s">
        <v>193</v>
      </c>
      <c r="C27" s="57" t="s">
        <v>171</v>
      </c>
      <c r="D27" s="58" t="s">
        <v>163</v>
      </c>
      <c r="E27" s="47">
        <f>F27+I27</f>
        <v>24376.694000000003</v>
      </c>
      <c r="F27" s="47">
        <f>7375.8+197.8+12066.2+2293.3+1367.29+156.216+566.688+304.7+38.7+10</f>
        <v>24376.694000000003</v>
      </c>
      <c r="G27" s="47"/>
      <c r="H27" s="47"/>
      <c r="I27" s="49"/>
      <c r="J27" s="47">
        <f>K27+N27</f>
        <v>5657.9</v>
      </c>
      <c r="K27" s="47">
        <v>380</v>
      </c>
      <c r="L27" s="47"/>
      <c r="M27" s="47"/>
      <c r="N27" s="47">
        <f>O27</f>
        <v>5277.9</v>
      </c>
      <c r="O27" s="47">
        <f>1880+253-5.1+140+3010</f>
        <v>5277.9</v>
      </c>
      <c r="P27" s="63">
        <f aca="true" t="shared" si="2" ref="P27:P89">J27+E27</f>
        <v>30034.594000000005</v>
      </c>
    </row>
    <row r="28" spans="1:16" s="6" customFormat="1" ht="40.5" customHeight="1">
      <c r="A28" s="122"/>
      <c r="B28" s="122"/>
      <c r="C28" s="45"/>
      <c r="D28" s="59" t="s">
        <v>373</v>
      </c>
      <c r="E28" s="49">
        <f aca="true" t="shared" si="3" ref="E28:E35">F28</f>
        <v>20025.119</v>
      </c>
      <c r="F28" s="49">
        <f>7375.8+12066.2+63.119+F30</f>
        <v>20025.119</v>
      </c>
      <c r="G28" s="49"/>
      <c r="H28" s="49"/>
      <c r="I28" s="49"/>
      <c r="J28" s="49"/>
      <c r="K28" s="49"/>
      <c r="L28" s="49"/>
      <c r="M28" s="49"/>
      <c r="N28" s="49"/>
      <c r="O28" s="49"/>
      <c r="P28" s="62">
        <f t="shared" si="2"/>
        <v>20025.119</v>
      </c>
    </row>
    <row r="29" spans="1:16" s="6" customFormat="1" ht="91.5" customHeight="1">
      <c r="A29" s="122"/>
      <c r="B29" s="122"/>
      <c r="C29" s="45"/>
      <c r="D29" s="55" t="s">
        <v>378</v>
      </c>
      <c r="E29" s="47">
        <f t="shared" si="3"/>
        <v>63.119</v>
      </c>
      <c r="F29" s="47">
        <v>63.119</v>
      </c>
      <c r="G29" s="49"/>
      <c r="H29" s="49"/>
      <c r="I29" s="49"/>
      <c r="J29" s="49"/>
      <c r="K29" s="49"/>
      <c r="L29" s="49"/>
      <c r="M29" s="49"/>
      <c r="N29" s="49"/>
      <c r="O29" s="49"/>
      <c r="P29" s="63">
        <f t="shared" si="2"/>
        <v>63.119</v>
      </c>
    </row>
    <row r="30" spans="1:16" s="6" customFormat="1" ht="115.5" customHeight="1">
      <c r="A30" s="122"/>
      <c r="B30" s="122"/>
      <c r="C30" s="45"/>
      <c r="D30" s="56" t="s">
        <v>374</v>
      </c>
      <c r="E30" s="47">
        <f t="shared" si="3"/>
        <v>520</v>
      </c>
      <c r="F30" s="47">
        <v>520</v>
      </c>
      <c r="G30" s="49"/>
      <c r="H30" s="49"/>
      <c r="I30" s="49"/>
      <c r="J30" s="49"/>
      <c r="K30" s="49"/>
      <c r="L30" s="49"/>
      <c r="M30" s="49"/>
      <c r="N30" s="49"/>
      <c r="O30" s="49"/>
      <c r="P30" s="63">
        <f t="shared" si="2"/>
        <v>520</v>
      </c>
    </row>
    <row r="31" spans="1:16" s="6" customFormat="1" ht="88.5" customHeight="1">
      <c r="A31" s="122"/>
      <c r="B31" s="122"/>
      <c r="C31" s="45"/>
      <c r="D31" s="126" t="s">
        <v>406</v>
      </c>
      <c r="E31" s="49"/>
      <c r="F31" s="47"/>
      <c r="G31" s="47"/>
      <c r="H31" s="47"/>
      <c r="I31" s="47"/>
      <c r="J31" s="47">
        <f>N31</f>
        <v>2860</v>
      </c>
      <c r="K31" s="47"/>
      <c r="L31" s="47"/>
      <c r="M31" s="47"/>
      <c r="N31" s="47">
        <f>O31</f>
        <v>2860</v>
      </c>
      <c r="O31" s="47">
        <f>1560+650+650</f>
        <v>2860</v>
      </c>
      <c r="P31" s="63">
        <f t="shared" si="2"/>
        <v>2860</v>
      </c>
    </row>
    <row r="32" spans="1:16" s="6" customFormat="1" ht="76.5" customHeight="1">
      <c r="A32" s="122"/>
      <c r="B32" s="122"/>
      <c r="C32" s="45"/>
      <c r="D32" s="126" t="s">
        <v>407</v>
      </c>
      <c r="E32" s="49"/>
      <c r="F32" s="47"/>
      <c r="G32" s="47"/>
      <c r="H32" s="47"/>
      <c r="I32" s="47"/>
      <c r="J32" s="47">
        <f>N32</f>
        <v>150</v>
      </c>
      <c r="K32" s="47"/>
      <c r="L32" s="47"/>
      <c r="M32" s="47"/>
      <c r="N32" s="47">
        <f>O32</f>
        <v>150</v>
      </c>
      <c r="O32" s="47">
        <v>150</v>
      </c>
      <c r="P32" s="63">
        <f t="shared" si="2"/>
        <v>150</v>
      </c>
    </row>
    <row r="33" spans="1:16" s="6" customFormat="1" ht="85.5" customHeight="1">
      <c r="A33" s="122" t="s">
        <v>379</v>
      </c>
      <c r="B33" s="122" t="s">
        <v>380</v>
      </c>
      <c r="C33" s="45" t="s">
        <v>341</v>
      </c>
      <c r="D33" s="52" t="s">
        <v>381</v>
      </c>
      <c r="E33" s="49">
        <f t="shared" si="3"/>
        <v>329.604</v>
      </c>
      <c r="F33" s="47">
        <f>231.6+58.004+40</f>
        <v>329.604</v>
      </c>
      <c r="G33" s="49"/>
      <c r="H33" s="49"/>
      <c r="I33" s="49"/>
      <c r="J33" s="49"/>
      <c r="K33" s="49"/>
      <c r="L33" s="49"/>
      <c r="M33" s="49"/>
      <c r="N33" s="49"/>
      <c r="O33" s="49"/>
      <c r="P33" s="63">
        <f t="shared" si="2"/>
        <v>329.604</v>
      </c>
    </row>
    <row r="34" spans="1:16" s="6" customFormat="1" ht="34.5" customHeight="1">
      <c r="A34" s="122"/>
      <c r="B34" s="122"/>
      <c r="C34" s="45"/>
      <c r="D34" s="59" t="s">
        <v>373</v>
      </c>
      <c r="E34" s="49">
        <f t="shared" si="3"/>
        <v>231.6</v>
      </c>
      <c r="F34" s="47">
        <f>F35</f>
        <v>231.6</v>
      </c>
      <c r="G34" s="49"/>
      <c r="H34" s="49"/>
      <c r="I34" s="49"/>
      <c r="J34" s="49"/>
      <c r="K34" s="49"/>
      <c r="L34" s="49"/>
      <c r="M34" s="49"/>
      <c r="N34" s="49"/>
      <c r="O34" s="49"/>
      <c r="P34" s="63">
        <f t="shared" si="2"/>
        <v>231.6</v>
      </c>
    </row>
    <row r="35" spans="1:16" s="6" customFormat="1" ht="127.5" customHeight="1">
      <c r="A35" s="122"/>
      <c r="B35" s="122"/>
      <c r="C35" s="45"/>
      <c r="D35" s="60" t="s">
        <v>382</v>
      </c>
      <c r="E35" s="49">
        <f t="shared" si="3"/>
        <v>231.6</v>
      </c>
      <c r="F35" s="47">
        <v>231.6</v>
      </c>
      <c r="G35" s="49"/>
      <c r="H35" s="49"/>
      <c r="I35" s="49"/>
      <c r="J35" s="49"/>
      <c r="K35" s="49"/>
      <c r="L35" s="49"/>
      <c r="M35" s="49"/>
      <c r="N35" s="49"/>
      <c r="O35" s="49"/>
      <c r="P35" s="63">
        <f t="shared" si="2"/>
        <v>231.6</v>
      </c>
    </row>
    <row r="36" spans="1:16" s="6" customFormat="1" ht="36" customHeight="1">
      <c r="A36" s="129" t="s">
        <v>135</v>
      </c>
      <c r="B36" s="129" t="s">
        <v>194</v>
      </c>
      <c r="C36" s="57" t="s">
        <v>172</v>
      </c>
      <c r="D36" s="61" t="s">
        <v>26</v>
      </c>
      <c r="E36" s="49">
        <f>F36+I36</f>
        <v>10842.787999999999</v>
      </c>
      <c r="F36" s="49">
        <f>4103.5+510+4988.1+246.8+446.3+264.722+130.766+87.7+24+40.9</f>
        <v>10842.787999999999</v>
      </c>
      <c r="G36" s="49"/>
      <c r="H36" s="49"/>
      <c r="I36" s="62"/>
      <c r="J36" s="62">
        <f>K36+N36</f>
        <v>227.4</v>
      </c>
      <c r="K36" s="62">
        <v>4.5</v>
      </c>
      <c r="L36" s="62"/>
      <c r="M36" s="62"/>
      <c r="N36" s="62">
        <f>O36</f>
        <v>222.9</v>
      </c>
      <c r="O36" s="62">
        <f>25+197.9</f>
        <v>222.9</v>
      </c>
      <c r="P36" s="62">
        <f>J36+E36</f>
        <v>11070.187999999998</v>
      </c>
    </row>
    <row r="37" spans="1:16" s="6" customFormat="1" ht="36" customHeight="1">
      <c r="A37" s="122"/>
      <c r="B37" s="122"/>
      <c r="C37" s="45"/>
      <c r="D37" s="59" t="s">
        <v>373</v>
      </c>
      <c r="E37" s="49">
        <f>F37</f>
        <v>8875.826000000001</v>
      </c>
      <c r="F37" s="49">
        <f>3772.1+4988.1+115.626</f>
        <v>8875.826000000001</v>
      </c>
      <c r="G37" s="49"/>
      <c r="H37" s="49"/>
      <c r="I37" s="62"/>
      <c r="J37" s="62"/>
      <c r="K37" s="62"/>
      <c r="L37" s="62"/>
      <c r="M37" s="62"/>
      <c r="N37" s="62"/>
      <c r="O37" s="62"/>
      <c r="P37" s="62">
        <f>J37+E37</f>
        <v>8875.826000000001</v>
      </c>
    </row>
    <row r="38" spans="1:16" s="6" customFormat="1" ht="93" customHeight="1">
      <c r="A38" s="122"/>
      <c r="B38" s="122"/>
      <c r="C38" s="45"/>
      <c r="D38" s="55" t="s">
        <v>377</v>
      </c>
      <c r="E38" s="47">
        <f>F38</f>
        <v>115.626</v>
      </c>
      <c r="F38" s="47">
        <v>115.626</v>
      </c>
      <c r="G38" s="49"/>
      <c r="H38" s="47"/>
      <c r="I38" s="63"/>
      <c r="J38" s="63"/>
      <c r="K38" s="63"/>
      <c r="L38" s="63"/>
      <c r="M38" s="63"/>
      <c r="N38" s="63"/>
      <c r="O38" s="63"/>
      <c r="P38" s="63">
        <f>J38+E38</f>
        <v>115.626</v>
      </c>
    </row>
    <row r="39" spans="1:16" s="6" customFormat="1" ht="36" customHeight="1">
      <c r="A39" s="122" t="s">
        <v>339</v>
      </c>
      <c r="B39" s="122" t="s">
        <v>340</v>
      </c>
      <c r="C39" s="45" t="s">
        <v>341</v>
      </c>
      <c r="D39" s="59" t="s">
        <v>342</v>
      </c>
      <c r="E39" s="49">
        <f>F39</f>
        <v>649.8</v>
      </c>
      <c r="F39" s="47">
        <f>F40</f>
        <v>649.8</v>
      </c>
      <c r="G39" s="49"/>
      <c r="H39" s="47"/>
      <c r="I39" s="63"/>
      <c r="J39" s="63"/>
      <c r="K39" s="63"/>
      <c r="L39" s="63"/>
      <c r="M39" s="63"/>
      <c r="N39" s="63"/>
      <c r="O39" s="63"/>
      <c r="P39" s="63">
        <f>J39+E39</f>
        <v>649.8</v>
      </c>
    </row>
    <row r="40" spans="1:16" s="6" customFormat="1" ht="114" customHeight="1">
      <c r="A40" s="122" t="s">
        <v>339</v>
      </c>
      <c r="B40" s="122" t="s">
        <v>343</v>
      </c>
      <c r="C40" s="45" t="s">
        <v>341</v>
      </c>
      <c r="D40" s="60" t="s">
        <v>344</v>
      </c>
      <c r="E40" s="49">
        <f>F40</f>
        <v>649.8</v>
      </c>
      <c r="F40" s="47">
        <f>464.1+185.7</f>
        <v>649.8</v>
      </c>
      <c r="G40" s="49"/>
      <c r="H40" s="47"/>
      <c r="I40" s="63"/>
      <c r="J40" s="63"/>
      <c r="K40" s="63"/>
      <c r="L40" s="63"/>
      <c r="M40" s="63"/>
      <c r="N40" s="63"/>
      <c r="O40" s="63"/>
      <c r="P40" s="63">
        <f>J40+E40</f>
        <v>649.8</v>
      </c>
    </row>
    <row r="41" spans="1:16" s="6" customFormat="1" ht="66" customHeight="1">
      <c r="A41" s="122" t="s">
        <v>158</v>
      </c>
      <c r="B41" s="122" t="s">
        <v>258</v>
      </c>
      <c r="C41" s="43"/>
      <c r="D41" s="56" t="s">
        <v>159</v>
      </c>
      <c r="E41" s="47">
        <f>F41+I41</f>
        <v>10</v>
      </c>
      <c r="F41" s="47">
        <f>F42</f>
        <v>10</v>
      </c>
      <c r="G41" s="47"/>
      <c r="H41" s="47"/>
      <c r="I41" s="63"/>
      <c r="J41" s="63"/>
      <c r="K41" s="63"/>
      <c r="L41" s="63"/>
      <c r="M41" s="63"/>
      <c r="N41" s="63"/>
      <c r="O41" s="63"/>
      <c r="P41" s="63">
        <f t="shared" si="2"/>
        <v>10</v>
      </c>
    </row>
    <row r="42" spans="1:16" s="6" customFormat="1" ht="81" customHeight="1">
      <c r="A42" s="122" t="s">
        <v>160</v>
      </c>
      <c r="B42" s="122" t="s">
        <v>195</v>
      </c>
      <c r="C42" s="45" t="s">
        <v>173</v>
      </c>
      <c r="D42" s="52" t="s">
        <v>161</v>
      </c>
      <c r="E42" s="47">
        <f>F42+I42</f>
        <v>10</v>
      </c>
      <c r="F42" s="47">
        <v>10</v>
      </c>
      <c r="G42" s="47"/>
      <c r="H42" s="47"/>
      <c r="I42" s="63"/>
      <c r="J42" s="63"/>
      <c r="K42" s="63"/>
      <c r="L42" s="63"/>
      <c r="M42" s="63"/>
      <c r="N42" s="63"/>
      <c r="O42" s="63"/>
      <c r="P42" s="63">
        <f t="shared" si="2"/>
        <v>10</v>
      </c>
    </row>
    <row r="43" spans="1:16" s="6" customFormat="1" ht="49.5" customHeight="1">
      <c r="A43" s="122" t="s">
        <v>330</v>
      </c>
      <c r="B43" s="122" t="s">
        <v>311</v>
      </c>
      <c r="C43" s="64"/>
      <c r="D43" s="65" t="s">
        <v>312</v>
      </c>
      <c r="E43" s="49">
        <f>F43</f>
        <v>0</v>
      </c>
      <c r="F43" s="47">
        <f>F44</f>
        <v>0</v>
      </c>
      <c r="G43" s="47">
        <f aca="true" t="shared" si="4" ref="G43:O43">G44</f>
        <v>0</v>
      </c>
      <c r="H43" s="47">
        <f t="shared" si="4"/>
        <v>0</v>
      </c>
      <c r="I43" s="47">
        <f t="shared" si="4"/>
        <v>0</v>
      </c>
      <c r="J43" s="47">
        <f t="shared" si="4"/>
        <v>1132.08</v>
      </c>
      <c r="K43" s="47">
        <f t="shared" si="4"/>
        <v>0</v>
      </c>
      <c r="L43" s="47">
        <f t="shared" si="4"/>
        <v>0</v>
      </c>
      <c r="M43" s="47">
        <f t="shared" si="4"/>
        <v>0</v>
      </c>
      <c r="N43" s="47">
        <f t="shared" si="4"/>
        <v>1132.08</v>
      </c>
      <c r="O43" s="47">
        <f t="shared" si="4"/>
        <v>1132.08</v>
      </c>
      <c r="P43" s="63">
        <f t="shared" si="2"/>
        <v>1132.08</v>
      </c>
    </row>
    <row r="44" spans="1:16" s="6" customFormat="1" ht="72" customHeight="1">
      <c r="A44" s="122" t="s">
        <v>330</v>
      </c>
      <c r="B44" s="122" t="s">
        <v>313</v>
      </c>
      <c r="C44" s="64" t="s">
        <v>314</v>
      </c>
      <c r="D44" s="46" t="s">
        <v>315</v>
      </c>
      <c r="E44" s="49">
        <f>F44</f>
        <v>0</v>
      </c>
      <c r="F44" s="47"/>
      <c r="G44" s="49"/>
      <c r="H44" s="49"/>
      <c r="I44" s="49"/>
      <c r="J44" s="49">
        <f>N44</f>
        <v>1132.08</v>
      </c>
      <c r="K44" s="47"/>
      <c r="L44" s="47"/>
      <c r="M44" s="47"/>
      <c r="N44" s="47">
        <f>1100+365-236-96.92</f>
        <v>1132.08</v>
      </c>
      <c r="O44" s="47">
        <f>N44</f>
        <v>1132.08</v>
      </c>
      <c r="P44" s="63">
        <f t="shared" si="2"/>
        <v>1132.08</v>
      </c>
    </row>
    <row r="45" spans="1:16" s="6" customFormat="1" ht="355.5" customHeight="1">
      <c r="A45" s="122"/>
      <c r="B45" s="122"/>
      <c r="C45" s="45"/>
      <c r="D45" s="125" t="s">
        <v>408</v>
      </c>
      <c r="E45" s="49"/>
      <c r="F45" s="47"/>
      <c r="G45" s="49"/>
      <c r="H45" s="49"/>
      <c r="I45" s="49"/>
      <c r="J45" s="49">
        <f>N45</f>
        <v>-300</v>
      </c>
      <c r="K45" s="47"/>
      <c r="L45" s="47"/>
      <c r="M45" s="47"/>
      <c r="N45" s="47">
        <v>-300</v>
      </c>
      <c r="O45" s="47">
        <v>-300</v>
      </c>
      <c r="P45" s="49">
        <f t="shared" si="2"/>
        <v>-300</v>
      </c>
    </row>
    <row r="46" spans="1:16" s="6" customFormat="1" ht="67.5" customHeight="1">
      <c r="A46" s="122" t="s">
        <v>345</v>
      </c>
      <c r="B46" s="122" t="s">
        <v>346</v>
      </c>
      <c r="C46" s="45"/>
      <c r="D46" s="67" t="s">
        <v>347</v>
      </c>
      <c r="E46" s="49">
        <f>E47</f>
        <v>650</v>
      </c>
      <c r="F46" s="47">
        <f>F47</f>
        <v>650</v>
      </c>
      <c r="G46" s="49"/>
      <c r="H46" s="49"/>
      <c r="I46" s="49"/>
      <c r="J46" s="49"/>
      <c r="K46" s="47"/>
      <c r="L46" s="47"/>
      <c r="M46" s="47"/>
      <c r="N46" s="47"/>
      <c r="O46" s="47"/>
      <c r="P46" s="63">
        <f t="shared" si="2"/>
        <v>650</v>
      </c>
    </row>
    <row r="47" spans="1:16" s="6" customFormat="1" ht="49.5" customHeight="1">
      <c r="A47" s="122" t="s">
        <v>348</v>
      </c>
      <c r="B47" s="122" t="s">
        <v>349</v>
      </c>
      <c r="C47" s="64" t="s">
        <v>350</v>
      </c>
      <c r="D47" s="68" t="s">
        <v>351</v>
      </c>
      <c r="E47" s="49">
        <f>F47</f>
        <v>650</v>
      </c>
      <c r="F47" s="47">
        <v>650</v>
      </c>
      <c r="G47" s="49"/>
      <c r="H47" s="49"/>
      <c r="I47" s="49"/>
      <c r="J47" s="49"/>
      <c r="K47" s="47"/>
      <c r="L47" s="47"/>
      <c r="M47" s="47"/>
      <c r="N47" s="47"/>
      <c r="O47" s="47"/>
      <c r="P47" s="63">
        <f t="shared" si="2"/>
        <v>650</v>
      </c>
    </row>
    <row r="48" spans="1:16" s="6" customFormat="1" ht="67.5" customHeight="1">
      <c r="A48" s="122" t="s">
        <v>402</v>
      </c>
      <c r="B48" s="122" t="s">
        <v>403</v>
      </c>
      <c r="C48" s="64" t="s">
        <v>314</v>
      </c>
      <c r="D48" s="125" t="s">
        <v>404</v>
      </c>
      <c r="E48" s="49">
        <f>F48</f>
        <v>9.6</v>
      </c>
      <c r="F48" s="47">
        <v>9.6</v>
      </c>
      <c r="G48" s="49"/>
      <c r="H48" s="49"/>
      <c r="I48" s="49"/>
      <c r="J48" s="49"/>
      <c r="K48" s="47"/>
      <c r="L48" s="47"/>
      <c r="M48" s="47"/>
      <c r="N48" s="47"/>
      <c r="O48" s="47"/>
      <c r="P48" s="63">
        <f t="shared" si="2"/>
        <v>9.6</v>
      </c>
    </row>
    <row r="49" spans="1:16" s="6" customFormat="1" ht="76.5" customHeight="1">
      <c r="A49" s="122" t="s">
        <v>154</v>
      </c>
      <c r="B49" s="122" t="s">
        <v>259</v>
      </c>
      <c r="C49" s="57"/>
      <c r="D49" s="61" t="s">
        <v>155</v>
      </c>
      <c r="E49" s="47">
        <f>F49+I49</f>
        <v>161.5</v>
      </c>
      <c r="F49" s="47">
        <f>F50+F51</f>
        <v>161.5</v>
      </c>
      <c r="G49" s="47"/>
      <c r="H49" s="47"/>
      <c r="I49" s="63"/>
      <c r="J49" s="63"/>
      <c r="K49" s="63"/>
      <c r="L49" s="63"/>
      <c r="M49" s="63"/>
      <c r="N49" s="63"/>
      <c r="O49" s="63"/>
      <c r="P49" s="63">
        <f t="shared" si="2"/>
        <v>161.5</v>
      </c>
    </row>
    <row r="50" spans="1:16" s="6" customFormat="1" ht="85.5" customHeight="1">
      <c r="A50" s="122" t="s">
        <v>156</v>
      </c>
      <c r="B50" s="122" t="s">
        <v>196</v>
      </c>
      <c r="C50" s="45" t="s">
        <v>174</v>
      </c>
      <c r="D50" s="66" t="s">
        <v>157</v>
      </c>
      <c r="E50" s="47">
        <f>F50+I50</f>
        <v>77.5</v>
      </c>
      <c r="F50" s="47">
        <f>36+22+19.5</f>
        <v>77.5</v>
      </c>
      <c r="G50" s="47"/>
      <c r="H50" s="47"/>
      <c r="I50" s="63"/>
      <c r="J50" s="63">
        <f>K50+N50</f>
        <v>0</v>
      </c>
      <c r="K50" s="63"/>
      <c r="L50" s="63"/>
      <c r="M50" s="63"/>
      <c r="N50" s="63">
        <f>O50</f>
        <v>0</v>
      </c>
      <c r="O50" s="63"/>
      <c r="P50" s="63">
        <f t="shared" si="2"/>
        <v>77.5</v>
      </c>
    </row>
    <row r="51" spans="1:16" s="6" customFormat="1" ht="58.5" customHeight="1">
      <c r="A51" s="122" t="s">
        <v>329</v>
      </c>
      <c r="B51" s="122" t="s">
        <v>308</v>
      </c>
      <c r="C51" s="64" t="s">
        <v>309</v>
      </c>
      <c r="D51" s="46" t="s">
        <v>310</v>
      </c>
      <c r="E51" s="49">
        <f>F51</f>
        <v>84</v>
      </c>
      <c r="F51" s="47">
        <f>30+54</f>
        <v>84</v>
      </c>
      <c r="G51" s="47"/>
      <c r="H51" s="47"/>
      <c r="I51" s="63"/>
      <c r="J51" s="63"/>
      <c r="K51" s="63"/>
      <c r="L51" s="63"/>
      <c r="M51" s="63"/>
      <c r="N51" s="63"/>
      <c r="O51" s="63"/>
      <c r="P51" s="63">
        <f t="shared" si="2"/>
        <v>84</v>
      </c>
    </row>
    <row r="52" spans="1:16" s="6" customFormat="1" ht="34.5" customHeight="1">
      <c r="A52" s="122" t="s">
        <v>167</v>
      </c>
      <c r="B52" s="122" t="s">
        <v>260</v>
      </c>
      <c r="C52" s="45"/>
      <c r="D52" s="67" t="s">
        <v>166</v>
      </c>
      <c r="E52" s="47">
        <f>F52+I52</f>
        <v>703.9</v>
      </c>
      <c r="F52" s="47">
        <f>F56+F55+F54</f>
        <v>374</v>
      </c>
      <c r="G52" s="47">
        <f>G56+G55+G54</f>
        <v>0</v>
      </c>
      <c r="H52" s="47">
        <f>H56+H55+H54</f>
        <v>0</v>
      </c>
      <c r="I52" s="47">
        <f>I56+I55+I54</f>
        <v>329.9</v>
      </c>
      <c r="J52" s="47">
        <f aca="true" t="shared" si="5" ref="J52:O52">J56</f>
        <v>0</v>
      </c>
      <c r="K52" s="47">
        <f t="shared" si="5"/>
        <v>0</v>
      </c>
      <c r="L52" s="47">
        <f t="shared" si="5"/>
        <v>0</v>
      </c>
      <c r="M52" s="47">
        <f t="shared" si="5"/>
        <v>0</v>
      </c>
      <c r="N52" s="47">
        <f t="shared" si="5"/>
        <v>0</v>
      </c>
      <c r="O52" s="47">
        <f t="shared" si="5"/>
        <v>0</v>
      </c>
      <c r="P52" s="63">
        <f>J52+E52</f>
        <v>703.9</v>
      </c>
    </row>
    <row r="53" spans="1:16" s="6" customFormat="1" ht="42" customHeight="1">
      <c r="A53" s="122" t="s">
        <v>400</v>
      </c>
      <c r="B53" s="122" t="s">
        <v>203</v>
      </c>
      <c r="C53" s="72" t="s">
        <v>179</v>
      </c>
      <c r="D53" s="46" t="s">
        <v>148</v>
      </c>
      <c r="E53" s="49">
        <f>F53+I53</f>
        <v>300</v>
      </c>
      <c r="F53" s="47"/>
      <c r="G53" s="47"/>
      <c r="H53" s="47"/>
      <c r="I53" s="47">
        <v>300</v>
      </c>
      <c r="J53" s="47"/>
      <c r="K53" s="47"/>
      <c r="L53" s="47"/>
      <c r="M53" s="47"/>
      <c r="N53" s="47"/>
      <c r="O53" s="47"/>
      <c r="P53" s="63">
        <f>J53+E53</f>
        <v>300</v>
      </c>
    </row>
    <row r="54" spans="1:16" s="6" customFormat="1" ht="166.5" customHeight="1">
      <c r="A54" s="122"/>
      <c r="B54" s="122"/>
      <c r="C54" s="72"/>
      <c r="D54" s="123" t="s">
        <v>401</v>
      </c>
      <c r="E54" s="49">
        <f>I54</f>
        <v>300</v>
      </c>
      <c r="F54" s="47"/>
      <c r="G54" s="47"/>
      <c r="H54" s="47"/>
      <c r="I54" s="47">
        <v>300</v>
      </c>
      <c r="J54" s="47"/>
      <c r="K54" s="47"/>
      <c r="L54" s="47"/>
      <c r="M54" s="47"/>
      <c r="N54" s="47"/>
      <c r="O54" s="47"/>
      <c r="P54" s="63">
        <f>J54+E54</f>
        <v>300</v>
      </c>
    </row>
    <row r="55" spans="1:16" s="6" customFormat="1" ht="109.5" customHeight="1">
      <c r="A55" s="130" t="s">
        <v>368</v>
      </c>
      <c r="B55" s="130" t="s">
        <v>369</v>
      </c>
      <c r="C55" s="45" t="s">
        <v>179</v>
      </c>
      <c r="D55" s="69" t="s">
        <v>370</v>
      </c>
      <c r="E55" s="47">
        <f>F55+I55</f>
        <v>149.9</v>
      </c>
      <c r="F55" s="47">
        <f>83+43.9-6.9</f>
        <v>120</v>
      </c>
      <c r="G55" s="47"/>
      <c r="H55" s="47"/>
      <c r="I55" s="47">
        <f>23+6.9</f>
        <v>29.9</v>
      </c>
      <c r="J55" s="47"/>
      <c r="K55" s="47"/>
      <c r="L55" s="47"/>
      <c r="M55" s="47"/>
      <c r="N55" s="47"/>
      <c r="O55" s="47"/>
      <c r="P55" s="63">
        <f>J55+E55</f>
        <v>149.9</v>
      </c>
    </row>
    <row r="56" spans="1:16" s="6" customFormat="1" ht="56.25" customHeight="1">
      <c r="A56" s="122" t="s">
        <v>101</v>
      </c>
      <c r="B56" s="122" t="s">
        <v>197</v>
      </c>
      <c r="C56" s="64" t="s">
        <v>175</v>
      </c>
      <c r="D56" s="52" t="s">
        <v>102</v>
      </c>
      <c r="E56" s="47">
        <f>E57</f>
        <v>234</v>
      </c>
      <c r="F56" s="47">
        <f>F57+F58</f>
        <v>254</v>
      </c>
      <c r="G56" s="47"/>
      <c r="H56" s="47"/>
      <c r="I56" s="47"/>
      <c r="J56" s="63"/>
      <c r="K56" s="47"/>
      <c r="L56" s="47"/>
      <c r="M56" s="47"/>
      <c r="N56" s="47"/>
      <c r="O56" s="47"/>
      <c r="P56" s="111">
        <f t="shared" si="2"/>
        <v>234</v>
      </c>
    </row>
    <row r="57" spans="1:16" s="6" customFormat="1" ht="64.5" customHeight="1">
      <c r="A57" s="122" t="s">
        <v>28</v>
      </c>
      <c r="B57" s="122" t="s">
        <v>198</v>
      </c>
      <c r="C57" s="64" t="s">
        <v>175</v>
      </c>
      <c r="D57" s="52" t="s">
        <v>332</v>
      </c>
      <c r="E57" s="47">
        <f>F57</f>
        <v>234</v>
      </c>
      <c r="F57" s="47">
        <v>234</v>
      </c>
      <c r="G57" s="47"/>
      <c r="H57" s="47"/>
      <c r="I57" s="47"/>
      <c r="J57" s="63"/>
      <c r="K57" s="47"/>
      <c r="L57" s="47"/>
      <c r="M57" s="47"/>
      <c r="N57" s="47"/>
      <c r="O57" s="47"/>
      <c r="P57" s="78">
        <f t="shared" si="2"/>
        <v>234</v>
      </c>
    </row>
    <row r="58" spans="1:16" s="6" customFormat="1" ht="145.5" customHeight="1">
      <c r="A58" s="122" t="s">
        <v>300</v>
      </c>
      <c r="B58" s="122" t="s">
        <v>301</v>
      </c>
      <c r="C58" s="64" t="s">
        <v>175</v>
      </c>
      <c r="D58" s="70" t="s">
        <v>331</v>
      </c>
      <c r="E58" s="47">
        <f>F58</f>
        <v>20</v>
      </c>
      <c r="F58" s="47">
        <v>20</v>
      </c>
      <c r="G58" s="47"/>
      <c r="H58" s="47"/>
      <c r="I58" s="47"/>
      <c r="J58" s="63"/>
      <c r="K58" s="47"/>
      <c r="L58" s="47"/>
      <c r="M58" s="47"/>
      <c r="N58" s="47"/>
      <c r="O58" s="47"/>
      <c r="P58" s="78">
        <f t="shared" si="2"/>
        <v>20</v>
      </c>
    </row>
    <row r="59" spans="1:16" ht="27.75">
      <c r="A59" s="122"/>
      <c r="B59" s="122"/>
      <c r="C59" s="40"/>
      <c r="D59" s="50" t="s">
        <v>6</v>
      </c>
      <c r="E59" s="71">
        <f>F59+I59</f>
        <v>37790.42600000001</v>
      </c>
      <c r="F59" s="49">
        <f>F23+F41+F43+F49+F52+F21+F46+F48</f>
        <v>37460.526000000005</v>
      </c>
      <c r="G59" s="49">
        <f aca="true" t="shared" si="6" ref="G59:O59">G23+G41+G43+G49+G52+G21+G46+G48</f>
        <v>0</v>
      </c>
      <c r="H59" s="49">
        <f t="shared" si="6"/>
        <v>0</v>
      </c>
      <c r="I59" s="49">
        <f t="shared" si="6"/>
        <v>329.9</v>
      </c>
      <c r="J59" s="49">
        <f t="shared" si="6"/>
        <v>7017.379999999999</v>
      </c>
      <c r="K59" s="49">
        <f t="shared" si="6"/>
        <v>384.5</v>
      </c>
      <c r="L59" s="49">
        <f t="shared" si="6"/>
        <v>0</v>
      </c>
      <c r="M59" s="49">
        <f t="shared" si="6"/>
        <v>0</v>
      </c>
      <c r="N59" s="49">
        <f t="shared" si="6"/>
        <v>6632.879999999999</v>
      </c>
      <c r="O59" s="49">
        <f t="shared" si="6"/>
        <v>6632.879999999999</v>
      </c>
      <c r="P59" s="71">
        <f>J59+E59</f>
        <v>44807.806000000004</v>
      </c>
    </row>
    <row r="60" spans="1:16" ht="65.25" customHeight="1">
      <c r="A60" s="122" t="s">
        <v>88</v>
      </c>
      <c r="B60" s="122"/>
      <c r="C60" s="72"/>
      <c r="D60" s="73" t="s">
        <v>146</v>
      </c>
      <c r="E60" s="47"/>
      <c r="F60" s="47"/>
      <c r="G60" s="47"/>
      <c r="H60" s="47"/>
      <c r="I60" s="47"/>
      <c r="J60" s="47"/>
      <c r="K60" s="47"/>
      <c r="L60" s="47"/>
      <c r="M60" s="47"/>
      <c r="N60" s="47"/>
      <c r="O60" s="47"/>
      <c r="P60" s="42"/>
    </row>
    <row r="61" spans="1:16" ht="75" customHeight="1">
      <c r="A61" s="122" t="s">
        <v>89</v>
      </c>
      <c r="B61" s="122"/>
      <c r="C61" s="72"/>
      <c r="D61" s="73" t="s">
        <v>146</v>
      </c>
      <c r="E61" s="47"/>
      <c r="F61" s="47"/>
      <c r="G61" s="47"/>
      <c r="H61" s="47"/>
      <c r="I61" s="47"/>
      <c r="J61" s="47"/>
      <c r="K61" s="47"/>
      <c r="L61" s="47"/>
      <c r="M61" s="47"/>
      <c r="N61" s="47"/>
      <c r="O61" s="47"/>
      <c r="P61" s="42"/>
    </row>
    <row r="62" spans="1:16" ht="27.75">
      <c r="A62" s="122" t="s">
        <v>97</v>
      </c>
      <c r="B62" s="122" t="s">
        <v>261</v>
      </c>
      <c r="C62" s="74"/>
      <c r="D62" s="41" t="s">
        <v>7</v>
      </c>
      <c r="E62" s="71">
        <f>F62+I62</f>
        <v>63554.10895</v>
      </c>
      <c r="F62" s="71">
        <f>F63+F68+F70+F73+F72+F71</f>
        <v>63554.10895</v>
      </c>
      <c r="G62" s="71">
        <f>G63+G68+G70+G73+G72</f>
        <v>43361.857169999996</v>
      </c>
      <c r="H62" s="71">
        <f>H63+H68+H70+H73+H72</f>
        <v>6841.27463</v>
      </c>
      <c r="I62" s="49">
        <f>I63+I68+I70+I73+I72</f>
        <v>0</v>
      </c>
      <c r="J62" s="49">
        <f aca="true" t="shared" si="7" ref="J62:O62">J63+J68+J70+J73+J72</f>
        <v>1380.1319999999998</v>
      </c>
      <c r="K62" s="49">
        <f t="shared" si="7"/>
        <v>6.82</v>
      </c>
      <c r="L62" s="49">
        <f t="shared" si="7"/>
        <v>0</v>
      </c>
      <c r="M62" s="49">
        <f t="shared" si="7"/>
        <v>0</v>
      </c>
      <c r="N62" s="49">
        <f t="shared" si="7"/>
        <v>1373.312</v>
      </c>
      <c r="O62" s="49">
        <f t="shared" si="7"/>
        <v>1373.312</v>
      </c>
      <c r="P62" s="71">
        <f>E62+J62</f>
        <v>64934.24095</v>
      </c>
    </row>
    <row r="63" spans="1:16" ht="147" customHeight="1">
      <c r="A63" s="122" t="s">
        <v>29</v>
      </c>
      <c r="B63" s="122" t="s">
        <v>184</v>
      </c>
      <c r="C63" s="45" t="s">
        <v>176</v>
      </c>
      <c r="D63" s="52" t="s">
        <v>30</v>
      </c>
      <c r="E63" s="78">
        <f>F63+I63</f>
        <v>58150.51653</v>
      </c>
      <c r="F63" s="78">
        <f>31246.832+27918.5+3678.5+10059.8+1123.2+609.131+655.952-12-4.794-17432.34447-249.4+65.5+233.84-12.7-48+318.5</f>
        <v>58150.51653</v>
      </c>
      <c r="G63" s="78">
        <f>17133.8+6044.1+22884+6945.4+289.22-12538.98219-204.8+53.6-226.5</f>
        <v>40379.83781</v>
      </c>
      <c r="H63" s="78">
        <f>2661.332+4838.8+627.4+50.2-1822.4719</f>
        <v>6355.2600999999995</v>
      </c>
      <c r="I63" s="47"/>
      <c r="J63" s="47">
        <f>K63+N63</f>
        <v>1380.1319999999998</v>
      </c>
      <c r="K63" s="47">
        <v>6.82</v>
      </c>
      <c r="L63" s="47"/>
      <c r="M63" s="47"/>
      <c r="N63" s="47">
        <f aca="true" t="shared" si="8" ref="N63:N68">O63</f>
        <v>1373.312</v>
      </c>
      <c r="O63" s="47">
        <f>180.874+45.1+10+48.8+1102.638+6.7-15.3-5.5</f>
        <v>1373.312</v>
      </c>
      <c r="P63" s="77">
        <f>J63+E63</f>
        <v>59530.64853</v>
      </c>
    </row>
    <row r="64" spans="1:16" ht="54" customHeight="1">
      <c r="A64" s="122"/>
      <c r="B64" s="122"/>
      <c r="C64" s="45"/>
      <c r="D64" s="117" t="s">
        <v>367</v>
      </c>
      <c r="E64" s="71">
        <f>F64</f>
        <v>37118.57544000001</v>
      </c>
      <c r="F64" s="71">
        <f>48917.906+37.235-11851.86556+15.3</f>
        <v>37118.57544000001</v>
      </c>
      <c r="G64" s="71">
        <f>40017.8+24.8-9464.60537-60</f>
        <v>30517.99463000001</v>
      </c>
      <c r="H64" s="49"/>
      <c r="I64" s="49"/>
      <c r="J64" s="49">
        <f>N64</f>
        <v>1086.414</v>
      </c>
      <c r="K64" s="49"/>
      <c r="L64" s="49"/>
      <c r="M64" s="49"/>
      <c r="N64" s="49">
        <f t="shared" si="8"/>
        <v>1086.414</v>
      </c>
      <c r="O64" s="49">
        <f>180.874+45.1+875.74-15.3</f>
        <v>1086.414</v>
      </c>
      <c r="P64" s="114">
        <f>J64+E64</f>
        <v>38204.989440000005</v>
      </c>
    </row>
    <row r="65" spans="1:16" ht="39" customHeight="1">
      <c r="A65" s="131"/>
      <c r="B65" s="131"/>
      <c r="C65" s="75"/>
      <c r="D65" s="117" t="s">
        <v>244</v>
      </c>
      <c r="E65" s="71">
        <f>F65</f>
        <v>37096.06244000001</v>
      </c>
      <c r="F65" s="71">
        <f>20903.3+27918.5+322.122-226.016-11837.14356+15.3</f>
        <v>37096.06244000001</v>
      </c>
      <c r="G65" s="71">
        <f>17133.8+22884-9464.60537-60</f>
        <v>30493.194630000005</v>
      </c>
      <c r="H65" s="49">
        <f>322.122-322.122</f>
        <v>0</v>
      </c>
      <c r="I65" s="49"/>
      <c r="J65" s="49">
        <f>N65</f>
        <v>210.67399999999998</v>
      </c>
      <c r="K65" s="49"/>
      <c r="L65" s="49"/>
      <c r="M65" s="49"/>
      <c r="N65" s="49">
        <f t="shared" si="8"/>
        <v>210.67399999999998</v>
      </c>
      <c r="O65" s="49">
        <f>180.874+45.1-15.3</f>
        <v>210.67399999999998</v>
      </c>
      <c r="P65" s="114">
        <f>J65+E65</f>
        <v>37306.73644000001</v>
      </c>
    </row>
    <row r="66" spans="1:16" ht="69" customHeight="1">
      <c r="A66" s="131"/>
      <c r="B66" s="131"/>
      <c r="C66" s="75"/>
      <c r="D66" s="118" t="s">
        <v>376</v>
      </c>
      <c r="E66" s="71">
        <f>F66</f>
        <v>111.40600000000002</v>
      </c>
      <c r="F66" s="71">
        <f>322.122-226.016+15.3</f>
        <v>111.40600000000002</v>
      </c>
      <c r="G66" s="49"/>
      <c r="H66" s="49"/>
      <c r="I66" s="49"/>
      <c r="J66" s="49">
        <f>N66</f>
        <v>210.67399999999998</v>
      </c>
      <c r="K66" s="49"/>
      <c r="L66" s="49"/>
      <c r="M66" s="49"/>
      <c r="N66" s="49">
        <f t="shared" si="8"/>
        <v>210.67399999999998</v>
      </c>
      <c r="O66" s="49">
        <f>180.874+45.1-15.3</f>
        <v>210.67399999999998</v>
      </c>
      <c r="P66" s="114">
        <f>J66+E66</f>
        <v>322.08</v>
      </c>
    </row>
    <row r="67" spans="1:16" ht="114" customHeight="1">
      <c r="A67" s="131"/>
      <c r="B67" s="131"/>
      <c r="C67" s="75"/>
      <c r="D67" s="27" t="s">
        <v>383</v>
      </c>
      <c r="E67" s="71"/>
      <c r="F67" s="49"/>
      <c r="G67" s="49"/>
      <c r="H67" s="49"/>
      <c r="I67" s="49"/>
      <c r="J67" s="49">
        <f>K67+N67</f>
        <v>875.74</v>
      </c>
      <c r="K67" s="49"/>
      <c r="L67" s="49"/>
      <c r="M67" s="49"/>
      <c r="N67" s="49">
        <f t="shared" si="8"/>
        <v>875.74</v>
      </c>
      <c r="O67" s="49">
        <v>875.74</v>
      </c>
      <c r="P67" s="114">
        <f>J67+E67</f>
        <v>875.74</v>
      </c>
    </row>
    <row r="68" spans="1:16" ht="90" customHeight="1">
      <c r="A68" s="122" t="s">
        <v>136</v>
      </c>
      <c r="B68" s="122" t="s">
        <v>185</v>
      </c>
      <c r="C68" s="45" t="s">
        <v>177</v>
      </c>
      <c r="D68" s="52" t="s">
        <v>262</v>
      </c>
      <c r="E68" s="78">
        <f>F68+I68</f>
        <v>1232.09305</v>
      </c>
      <c r="F68" s="78">
        <f>235.8+1995.5+37.2+4.794-1041.45095+0.25</f>
        <v>1232.09305</v>
      </c>
      <c r="G68" s="78">
        <f>177.5+1420.2-736.54122</f>
        <v>861.1587800000001</v>
      </c>
      <c r="H68" s="78">
        <f>19.2+237.4-124.83538</f>
        <v>131.76462000000004</v>
      </c>
      <c r="I68" s="47"/>
      <c r="J68" s="47">
        <f>N68</f>
        <v>0</v>
      </c>
      <c r="K68" s="47"/>
      <c r="L68" s="47"/>
      <c r="M68" s="47"/>
      <c r="N68" s="47">
        <f t="shared" si="8"/>
        <v>0</v>
      </c>
      <c r="O68" s="47"/>
      <c r="P68" s="77">
        <f t="shared" si="2"/>
        <v>1232.09305</v>
      </c>
    </row>
    <row r="69" spans="1:17" ht="36" customHeight="1">
      <c r="A69" s="122" t="s">
        <v>132</v>
      </c>
      <c r="B69" s="122" t="s">
        <v>191</v>
      </c>
      <c r="C69" s="45" t="s">
        <v>170</v>
      </c>
      <c r="D69" s="52" t="s">
        <v>100</v>
      </c>
      <c r="E69" s="78">
        <f>F69+I69</f>
        <v>1078.93649</v>
      </c>
      <c r="F69" s="77">
        <f>F70+F71</f>
        <v>1078.93649</v>
      </c>
      <c r="G69" s="63">
        <f>G70</f>
        <v>0</v>
      </c>
      <c r="H69" s="63">
        <f>H70</f>
        <v>0</v>
      </c>
      <c r="I69" s="63"/>
      <c r="J69" s="63"/>
      <c r="K69" s="63"/>
      <c r="L69" s="63">
        <f>L70</f>
        <v>0</v>
      </c>
      <c r="M69" s="63">
        <f>M70</f>
        <v>0</v>
      </c>
      <c r="N69" s="63">
        <f>N70</f>
        <v>0</v>
      </c>
      <c r="O69" s="47"/>
      <c r="P69" s="77">
        <f t="shared" si="2"/>
        <v>1078.93649</v>
      </c>
      <c r="Q69" s="13"/>
    </row>
    <row r="70" spans="1:17" ht="75.75" customHeight="1">
      <c r="A70" s="122" t="s">
        <v>145</v>
      </c>
      <c r="B70" s="122" t="s">
        <v>192</v>
      </c>
      <c r="C70" s="45" t="s">
        <v>170</v>
      </c>
      <c r="D70" s="116" t="s">
        <v>165</v>
      </c>
      <c r="E70" s="78">
        <f>F70+I70</f>
        <v>1066.93649</v>
      </c>
      <c r="F70" s="77">
        <f>281.2+356.6+305+32+33.548-31.91151+29.8+12.7+48</f>
        <v>1066.93649</v>
      </c>
      <c r="G70" s="63"/>
      <c r="H70" s="63">
        <f>I70+L70</f>
        <v>0</v>
      </c>
      <c r="I70" s="63"/>
      <c r="J70" s="63"/>
      <c r="K70" s="63"/>
      <c r="L70" s="63"/>
      <c r="M70" s="63"/>
      <c r="N70" s="63"/>
      <c r="O70" s="63"/>
      <c r="P70" s="77">
        <f t="shared" si="2"/>
        <v>1066.93649</v>
      </c>
      <c r="Q70" s="13"/>
    </row>
    <row r="71" spans="1:17" ht="78.75" customHeight="1">
      <c r="A71" s="122" t="s">
        <v>145</v>
      </c>
      <c r="B71" s="122" t="s">
        <v>352</v>
      </c>
      <c r="C71" s="45" t="s">
        <v>170</v>
      </c>
      <c r="D71" s="116" t="s">
        <v>353</v>
      </c>
      <c r="E71" s="49">
        <f>F71</f>
        <v>12</v>
      </c>
      <c r="F71" s="47">
        <v>12</v>
      </c>
      <c r="G71" s="63"/>
      <c r="H71" s="63"/>
      <c r="I71" s="63"/>
      <c r="J71" s="63"/>
      <c r="K71" s="63"/>
      <c r="L71" s="63"/>
      <c r="M71" s="63"/>
      <c r="N71" s="63"/>
      <c r="O71" s="63"/>
      <c r="P71" s="63">
        <f t="shared" si="2"/>
        <v>12</v>
      </c>
      <c r="Q71" s="13"/>
    </row>
    <row r="72" spans="1:17" ht="38.25" customHeight="1">
      <c r="A72" s="122" t="s">
        <v>31</v>
      </c>
      <c r="B72" s="122" t="s">
        <v>199</v>
      </c>
      <c r="C72" s="45" t="s">
        <v>170</v>
      </c>
      <c r="D72" s="76" t="s">
        <v>32</v>
      </c>
      <c r="E72" s="47">
        <f>F72+I72</f>
        <v>3067.22288</v>
      </c>
      <c r="F72" s="63">
        <f>1806.4+1481.6+12-232.77712</f>
        <v>3067.22288</v>
      </c>
      <c r="G72" s="63">
        <f>1254.3+1066.8-200.23942</f>
        <v>2120.86058</v>
      </c>
      <c r="H72" s="77">
        <f>202.155+111.3+40.79491</f>
        <v>354.24991</v>
      </c>
      <c r="I72" s="63"/>
      <c r="J72" s="63"/>
      <c r="K72" s="63"/>
      <c r="L72" s="63"/>
      <c r="M72" s="63"/>
      <c r="N72" s="63"/>
      <c r="O72" s="63"/>
      <c r="P72" s="77">
        <f t="shared" si="2"/>
        <v>3067.22288</v>
      </c>
      <c r="Q72" s="13"/>
    </row>
    <row r="73" spans="1:17" ht="103.5" customHeight="1">
      <c r="A73" s="122" t="s">
        <v>144</v>
      </c>
      <c r="B73" s="122" t="s">
        <v>200</v>
      </c>
      <c r="C73" s="45" t="s">
        <v>170</v>
      </c>
      <c r="D73" s="52" t="s">
        <v>254</v>
      </c>
      <c r="E73" s="47">
        <f>F73+I73</f>
        <v>25.34</v>
      </c>
      <c r="F73" s="47">
        <v>25.34</v>
      </c>
      <c r="G73" s="47"/>
      <c r="H73" s="47"/>
      <c r="I73" s="47"/>
      <c r="J73" s="47"/>
      <c r="K73" s="47"/>
      <c r="L73" s="47"/>
      <c r="M73" s="47"/>
      <c r="N73" s="47"/>
      <c r="O73" s="47"/>
      <c r="P73" s="63">
        <f t="shared" si="2"/>
        <v>25.34</v>
      </c>
      <c r="Q73" s="13"/>
    </row>
    <row r="74" spans="1:17" ht="42" customHeight="1">
      <c r="A74" s="122" t="s">
        <v>302</v>
      </c>
      <c r="B74" s="122" t="s">
        <v>303</v>
      </c>
      <c r="C74" s="64" t="s">
        <v>173</v>
      </c>
      <c r="D74" s="46" t="s">
        <v>304</v>
      </c>
      <c r="E74" s="49">
        <f>F74</f>
        <v>14</v>
      </c>
      <c r="F74" s="47">
        <f>F75+F76</f>
        <v>14</v>
      </c>
      <c r="G74" s="47"/>
      <c r="H74" s="47"/>
      <c r="I74" s="47"/>
      <c r="J74" s="47"/>
      <c r="K74" s="47"/>
      <c r="L74" s="47"/>
      <c r="M74" s="47"/>
      <c r="N74" s="47"/>
      <c r="O74" s="47"/>
      <c r="P74" s="63">
        <f t="shared" si="2"/>
        <v>14</v>
      </c>
      <c r="Q74" s="13"/>
    </row>
    <row r="75" spans="1:17" ht="70.5" customHeight="1">
      <c r="A75" s="122" t="s">
        <v>305</v>
      </c>
      <c r="B75" s="122" t="s">
        <v>306</v>
      </c>
      <c r="C75" s="64" t="s">
        <v>173</v>
      </c>
      <c r="D75" s="46" t="s">
        <v>307</v>
      </c>
      <c r="E75" s="49">
        <f>F75</f>
        <v>0</v>
      </c>
      <c r="F75" s="47">
        <f>14-14</f>
        <v>0</v>
      </c>
      <c r="G75" s="47"/>
      <c r="H75" s="47"/>
      <c r="I75" s="47"/>
      <c r="J75" s="47"/>
      <c r="K75" s="47"/>
      <c r="L75" s="47"/>
      <c r="M75" s="47"/>
      <c r="N75" s="47"/>
      <c r="O75" s="47"/>
      <c r="P75" s="63">
        <f t="shared" si="2"/>
        <v>0</v>
      </c>
      <c r="Q75" s="13"/>
    </row>
    <row r="76" spans="1:17" ht="49.5" customHeight="1">
      <c r="A76" s="122" t="s">
        <v>384</v>
      </c>
      <c r="B76" s="122" t="s">
        <v>385</v>
      </c>
      <c r="C76" s="64"/>
      <c r="D76" s="46" t="s">
        <v>386</v>
      </c>
      <c r="E76" s="71">
        <f>F76</f>
        <v>14</v>
      </c>
      <c r="F76" s="78">
        <v>14</v>
      </c>
      <c r="G76" s="47"/>
      <c r="H76" s="47"/>
      <c r="I76" s="47"/>
      <c r="J76" s="47"/>
      <c r="K76" s="47"/>
      <c r="L76" s="47"/>
      <c r="M76" s="47"/>
      <c r="N76" s="47"/>
      <c r="O76" s="47"/>
      <c r="P76" s="63">
        <f t="shared" si="2"/>
        <v>14</v>
      </c>
      <c r="Q76" s="13"/>
    </row>
    <row r="77" spans="1:17" ht="35.25" customHeight="1">
      <c r="A77" s="122" t="s">
        <v>119</v>
      </c>
      <c r="B77" s="122" t="s">
        <v>263</v>
      </c>
      <c r="C77" s="79"/>
      <c r="D77" s="67" t="s">
        <v>120</v>
      </c>
      <c r="E77" s="78">
        <f>F77+I77</f>
        <v>1086.20369</v>
      </c>
      <c r="F77" s="78">
        <f>F82+F81+F79+F84</f>
        <v>1086.20369</v>
      </c>
      <c r="G77" s="78">
        <f aca="true" t="shared" si="9" ref="G77:O77">G82+G81+G79+G84</f>
        <v>522.8346799999999</v>
      </c>
      <c r="H77" s="78">
        <f t="shared" si="9"/>
        <v>83.82888000000001</v>
      </c>
      <c r="I77" s="47">
        <f t="shared" si="9"/>
        <v>0</v>
      </c>
      <c r="J77" s="47">
        <f t="shared" si="9"/>
        <v>0</v>
      </c>
      <c r="K77" s="47">
        <f t="shared" si="9"/>
        <v>0</v>
      </c>
      <c r="L77" s="47">
        <f t="shared" si="9"/>
        <v>0</v>
      </c>
      <c r="M77" s="47">
        <f t="shared" si="9"/>
        <v>0</v>
      </c>
      <c r="N77" s="47">
        <f t="shared" si="9"/>
        <v>0</v>
      </c>
      <c r="O77" s="47">
        <f t="shared" si="9"/>
        <v>0</v>
      </c>
      <c r="P77" s="77">
        <f t="shared" si="2"/>
        <v>1086.20369</v>
      </c>
      <c r="Q77" s="13"/>
    </row>
    <row r="78" spans="1:17" ht="36.75" customHeight="1">
      <c r="A78" s="122" t="s">
        <v>122</v>
      </c>
      <c r="B78" s="122" t="s">
        <v>266</v>
      </c>
      <c r="C78" s="80"/>
      <c r="D78" s="66" t="s">
        <v>264</v>
      </c>
      <c r="E78" s="78">
        <f>F78</f>
        <v>730.5156900000001</v>
      </c>
      <c r="F78" s="78">
        <f>F79</f>
        <v>730.5156900000001</v>
      </c>
      <c r="G78" s="78">
        <f>G79</f>
        <v>522.8346799999999</v>
      </c>
      <c r="H78" s="78">
        <f>H79</f>
        <v>83.82888000000001</v>
      </c>
      <c r="I78" s="49"/>
      <c r="J78" s="49"/>
      <c r="K78" s="49"/>
      <c r="L78" s="49"/>
      <c r="M78" s="49"/>
      <c r="N78" s="49"/>
      <c r="O78" s="49"/>
      <c r="P78" s="77">
        <f t="shared" si="2"/>
        <v>730.5156900000001</v>
      </c>
      <c r="Q78" s="13"/>
    </row>
    <row r="79" spans="1:17" ht="57.75" customHeight="1">
      <c r="A79" s="122" t="s">
        <v>123</v>
      </c>
      <c r="B79" s="122" t="s">
        <v>202</v>
      </c>
      <c r="C79" s="45" t="s">
        <v>178</v>
      </c>
      <c r="D79" s="52" t="s">
        <v>255</v>
      </c>
      <c r="E79" s="78">
        <f>F79</f>
        <v>730.5156900000001</v>
      </c>
      <c r="F79" s="78">
        <f>1451.2-720.68431</f>
        <v>730.5156900000001</v>
      </c>
      <c r="G79" s="78">
        <f>1046.6-523.76532</f>
        <v>522.8346799999999</v>
      </c>
      <c r="H79" s="78">
        <f>167.21-83.38112</f>
        <v>83.82888000000001</v>
      </c>
      <c r="I79" s="49"/>
      <c r="J79" s="49"/>
      <c r="K79" s="49"/>
      <c r="L79" s="49"/>
      <c r="M79" s="49"/>
      <c r="N79" s="49"/>
      <c r="O79" s="49"/>
      <c r="P79" s="77">
        <f t="shared" si="2"/>
        <v>730.5156900000001</v>
      </c>
      <c r="Q79" s="13"/>
    </row>
    <row r="80" spans="1:17" ht="40.5" customHeight="1">
      <c r="A80" s="122" t="s">
        <v>270</v>
      </c>
      <c r="B80" s="122" t="s">
        <v>271</v>
      </c>
      <c r="C80" s="80" t="s">
        <v>178</v>
      </c>
      <c r="D80" s="52" t="s">
        <v>272</v>
      </c>
      <c r="E80" s="78">
        <f>F80+I80</f>
        <v>315.688</v>
      </c>
      <c r="F80" s="77">
        <f>F81+F82</f>
        <v>315.688</v>
      </c>
      <c r="G80" s="47"/>
      <c r="H80" s="47"/>
      <c r="I80" s="47"/>
      <c r="J80" s="47"/>
      <c r="K80" s="47"/>
      <c r="L80" s="47"/>
      <c r="M80" s="47"/>
      <c r="N80" s="47"/>
      <c r="O80" s="47"/>
      <c r="P80" s="77">
        <f t="shared" si="2"/>
        <v>315.688</v>
      </c>
      <c r="Q80" s="13"/>
    </row>
    <row r="81" spans="1:17" ht="139.5" customHeight="1">
      <c r="A81" s="122" t="s">
        <v>273</v>
      </c>
      <c r="B81" s="122" t="s">
        <v>274</v>
      </c>
      <c r="C81" s="45" t="s">
        <v>178</v>
      </c>
      <c r="D81" s="52" t="s">
        <v>275</v>
      </c>
      <c r="E81" s="47">
        <f>F81+I81</f>
        <v>140</v>
      </c>
      <c r="F81" s="63">
        <f>15+5+50+70</f>
        <v>140</v>
      </c>
      <c r="G81" s="47"/>
      <c r="H81" s="47"/>
      <c r="I81" s="47"/>
      <c r="J81" s="47"/>
      <c r="K81" s="47"/>
      <c r="L81" s="47"/>
      <c r="M81" s="47"/>
      <c r="N81" s="47"/>
      <c r="O81" s="47"/>
      <c r="P81" s="63">
        <f t="shared" si="2"/>
        <v>140</v>
      </c>
      <c r="Q81" s="13"/>
    </row>
    <row r="82" spans="1:17" ht="96" customHeight="1">
      <c r="A82" s="122" t="s">
        <v>276</v>
      </c>
      <c r="B82" s="122" t="s">
        <v>277</v>
      </c>
      <c r="C82" s="45" t="s">
        <v>178</v>
      </c>
      <c r="D82" s="52" t="s">
        <v>278</v>
      </c>
      <c r="E82" s="47">
        <f>F82+I82</f>
        <v>175.688</v>
      </c>
      <c r="F82" s="63">
        <f>175.588+0.1</f>
        <v>175.688</v>
      </c>
      <c r="G82" s="47"/>
      <c r="H82" s="47"/>
      <c r="I82" s="47"/>
      <c r="J82" s="47"/>
      <c r="K82" s="47"/>
      <c r="L82" s="47"/>
      <c r="M82" s="47"/>
      <c r="N82" s="47"/>
      <c r="O82" s="47"/>
      <c r="P82" s="63">
        <f t="shared" si="2"/>
        <v>175.688</v>
      </c>
      <c r="Q82" s="13"/>
    </row>
    <row r="83" spans="1:17" ht="90" customHeight="1">
      <c r="A83" s="122" t="s">
        <v>121</v>
      </c>
      <c r="B83" s="122" t="s">
        <v>201</v>
      </c>
      <c r="C83" s="45" t="s">
        <v>178</v>
      </c>
      <c r="D83" s="52" t="s">
        <v>265</v>
      </c>
      <c r="E83" s="47">
        <f>F83</f>
        <v>40</v>
      </c>
      <c r="F83" s="47">
        <f>F84</f>
        <v>40</v>
      </c>
      <c r="G83" s="47"/>
      <c r="H83" s="47"/>
      <c r="I83" s="47"/>
      <c r="J83" s="47"/>
      <c r="K83" s="47"/>
      <c r="L83" s="47"/>
      <c r="M83" s="47"/>
      <c r="N83" s="47"/>
      <c r="O83" s="47"/>
      <c r="P83" s="63">
        <f t="shared" si="2"/>
        <v>40</v>
      </c>
      <c r="Q83" s="13"/>
    </row>
    <row r="84" spans="1:17" ht="118.5" customHeight="1">
      <c r="A84" s="122" t="s">
        <v>268</v>
      </c>
      <c r="B84" s="122" t="s">
        <v>267</v>
      </c>
      <c r="C84" s="45" t="s">
        <v>178</v>
      </c>
      <c r="D84" s="52" t="s">
        <v>269</v>
      </c>
      <c r="E84" s="47">
        <f>F84+I84</f>
        <v>40</v>
      </c>
      <c r="F84" s="47">
        <f>20+10+10</f>
        <v>40</v>
      </c>
      <c r="G84" s="47"/>
      <c r="H84" s="47"/>
      <c r="I84" s="47"/>
      <c r="J84" s="47"/>
      <c r="K84" s="47"/>
      <c r="L84" s="47"/>
      <c r="M84" s="47"/>
      <c r="N84" s="47"/>
      <c r="O84" s="47"/>
      <c r="P84" s="63">
        <f t="shared" si="2"/>
        <v>40</v>
      </c>
      <c r="Q84" s="13"/>
    </row>
    <row r="85" spans="1:17" ht="103.5" customHeight="1">
      <c r="A85" s="122" t="s">
        <v>357</v>
      </c>
      <c r="B85" s="122" t="s">
        <v>358</v>
      </c>
      <c r="C85" s="64" t="s">
        <v>176</v>
      </c>
      <c r="D85" s="46" t="s">
        <v>359</v>
      </c>
      <c r="E85" s="47"/>
      <c r="F85" s="47"/>
      <c r="G85" s="47"/>
      <c r="H85" s="47"/>
      <c r="I85" s="47"/>
      <c r="J85" s="47">
        <f>N85</f>
        <v>165</v>
      </c>
      <c r="K85" s="47"/>
      <c r="L85" s="47"/>
      <c r="M85" s="47"/>
      <c r="N85" s="47">
        <v>165</v>
      </c>
      <c r="O85" s="47">
        <v>165</v>
      </c>
      <c r="P85" s="63">
        <f t="shared" si="2"/>
        <v>165</v>
      </c>
      <c r="Q85" s="13"/>
    </row>
    <row r="86" spans="1:17" ht="37.5" customHeight="1">
      <c r="A86" s="122" t="s">
        <v>151</v>
      </c>
      <c r="B86" s="122" t="s">
        <v>203</v>
      </c>
      <c r="C86" s="81" t="s">
        <v>179</v>
      </c>
      <c r="D86" s="46" t="s">
        <v>148</v>
      </c>
      <c r="E86" s="47">
        <f>F86+I86</f>
        <v>5956.8</v>
      </c>
      <c r="F86" s="82">
        <f>F87+15</f>
        <v>5956.8</v>
      </c>
      <c r="G86" s="83"/>
      <c r="H86" s="83"/>
      <c r="I86" s="83"/>
      <c r="J86" s="83"/>
      <c r="K86" s="83"/>
      <c r="L86" s="83"/>
      <c r="M86" s="83"/>
      <c r="N86" s="83"/>
      <c r="O86" s="83"/>
      <c r="P86" s="63">
        <f t="shared" si="2"/>
        <v>5956.8</v>
      </c>
      <c r="Q86" s="13"/>
    </row>
    <row r="87" spans="1:17" ht="63" customHeight="1">
      <c r="A87" s="122" t="s">
        <v>152</v>
      </c>
      <c r="B87" s="122" t="s">
        <v>204</v>
      </c>
      <c r="C87" s="81" t="s">
        <v>179</v>
      </c>
      <c r="D87" s="46" t="s">
        <v>153</v>
      </c>
      <c r="E87" s="47">
        <f>F87+I87</f>
        <v>5941.8</v>
      </c>
      <c r="F87" s="82">
        <v>5941.8</v>
      </c>
      <c r="G87" s="83"/>
      <c r="H87" s="83"/>
      <c r="I87" s="83"/>
      <c r="J87" s="83"/>
      <c r="K87" s="83"/>
      <c r="L87" s="83"/>
      <c r="M87" s="83"/>
      <c r="N87" s="83"/>
      <c r="O87" s="83"/>
      <c r="P87" s="63">
        <f t="shared" si="2"/>
        <v>5941.8</v>
      </c>
      <c r="Q87" s="13"/>
    </row>
    <row r="88" spans="1:17" ht="211.5" customHeight="1">
      <c r="A88" s="122" t="s">
        <v>387</v>
      </c>
      <c r="B88" s="122" t="s">
        <v>388</v>
      </c>
      <c r="C88" s="81" t="s">
        <v>179</v>
      </c>
      <c r="D88" s="60" t="s">
        <v>389</v>
      </c>
      <c r="E88" s="78">
        <f>F88</f>
        <v>15</v>
      </c>
      <c r="F88" s="78">
        <v>15</v>
      </c>
      <c r="G88" s="83"/>
      <c r="H88" s="83"/>
      <c r="I88" s="83"/>
      <c r="J88" s="83"/>
      <c r="K88" s="83"/>
      <c r="L88" s="83"/>
      <c r="M88" s="83"/>
      <c r="N88" s="83"/>
      <c r="O88" s="83"/>
      <c r="P88" s="63">
        <f t="shared" si="2"/>
        <v>15</v>
      </c>
      <c r="Q88" s="13"/>
    </row>
    <row r="89" spans="1:23" ht="34.5" customHeight="1">
      <c r="A89" s="122"/>
      <c r="B89" s="122"/>
      <c r="C89" s="72"/>
      <c r="D89" s="84" t="s">
        <v>6</v>
      </c>
      <c r="E89" s="120">
        <f>F89+I89</f>
        <v>70611.11264</v>
      </c>
      <c r="F89" s="120">
        <f>F77+F62+F86+F74</f>
        <v>70611.11264</v>
      </c>
      <c r="G89" s="120">
        <f>G77+G62+G86</f>
        <v>43884.691849999996</v>
      </c>
      <c r="H89" s="120">
        <f>H77+H62+H86</f>
        <v>6925.10351</v>
      </c>
      <c r="I89" s="120">
        <f>I77+I62+I86</f>
        <v>0</v>
      </c>
      <c r="J89" s="120">
        <f aca="true" t="shared" si="10" ref="J89:O89">J77+J62+J86+J85</f>
        <v>1545.1319999999998</v>
      </c>
      <c r="K89" s="120">
        <f t="shared" si="10"/>
        <v>6.82</v>
      </c>
      <c r="L89" s="120">
        <f t="shared" si="10"/>
        <v>0</v>
      </c>
      <c r="M89" s="120">
        <f t="shared" si="10"/>
        <v>0</v>
      </c>
      <c r="N89" s="120">
        <f t="shared" si="10"/>
        <v>1538.312</v>
      </c>
      <c r="O89" s="120">
        <f t="shared" si="10"/>
        <v>1538.312</v>
      </c>
      <c r="P89" s="114">
        <f t="shared" si="2"/>
        <v>72156.24464</v>
      </c>
      <c r="Q89" s="12"/>
      <c r="R89" s="12"/>
      <c r="S89" s="11"/>
      <c r="T89" s="11"/>
      <c r="U89" s="11"/>
      <c r="V89" s="11"/>
      <c r="W89" s="11"/>
    </row>
    <row r="90" spans="1:17" ht="65.25" customHeight="1">
      <c r="A90" s="122" t="s">
        <v>90</v>
      </c>
      <c r="B90" s="122"/>
      <c r="C90" s="72"/>
      <c r="D90" s="59" t="s">
        <v>19</v>
      </c>
      <c r="E90" s="47"/>
      <c r="F90" s="47"/>
      <c r="G90" s="47"/>
      <c r="H90" s="47"/>
      <c r="I90" s="47"/>
      <c r="J90" s="47"/>
      <c r="K90" s="47"/>
      <c r="L90" s="47"/>
      <c r="M90" s="47"/>
      <c r="N90" s="47"/>
      <c r="O90" s="47"/>
      <c r="P90" s="112"/>
      <c r="Q90" s="13"/>
    </row>
    <row r="91" spans="1:17" ht="60" customHeight="1">
      <c r="A91" s="122" t="s">
        <v>98</v>
      </c>
      <c r="B91" s="122"/>
      <c r="C91" s="72"/>
      <c r="D91" s="59" t="s">
        <v>19</v>
      </c>
      <c r="E91" s="47"/>
      <c r="F91" s="47"/>
      <c r="G91" s="47"/>
      <c r="H91" s="47"/>
      <c r="I91" s="47"/>
      <c r="J91" s="47"/>
      <c r="K91" s="47"/>
      <c r="L91" s="47"/>
      <c r="M91" s="47"/>
      <c r="N91" s="47"/>
      <c r="O91" s="47"/>
      <c r="P91" s="112"/>
      <c r="Q91" s="13"/>
    </row>
    <row r="92" spans="1:17" ht="62.25" customHeight="1">
      <c r="A92" s="122" t="s">
        <v>99</v>
      </c>
      <c r="B92" s="122"/>
      <c r="C92" s="86"/>
      <c r="D92" s="59" t="s">
        <v>5</v>
      </c>
      <c r="E92" s="49">
        <f>I92+F92</f>
        <v>148097.419</v>
      </c>
      <c r="F92" s="49">
        <f>F94+F95+F97+F98+F99+F100+F102+F103+F105+F106+F107+F108+F110+F111+F112+F113+F114+F115+F116+F117+F118+F120+F121+F123+F124+F126+F128+F129+F130+F132+F133+F134+F119</f>
        <v>148097.419</v>
      </c>
      <c r="G92" s="49">
        <f aca="true" t="shared" si="11" ref="G92:O92">G94+G95+G97+G98+G99+G100+G102+G103+G105+G106+G107+G108+G110+G111+G112+G113+G114+G115+G116+G117+G118+G120+G119+G121+G123+G124+G126+G128+G129+G130+G132+G133+G135</f>
        <v>4759.856</v>
      </c>
      <c r="H92" s="49">
        <f t="shared" si="11"/>
        <v>244.95000000000002</v>
      </c>
      <c r="I92" s="49">
        <f t="shared" si="11"/>
        <v>0</v>
      </c>
      <c r="J92" s="49">
        <f>J94+J95+J97+J98+J99+J100+J102+J103+J105+J106+J107+J108+J110+J111+J112+J113+J114+J115+J116+J117+J118+J120+J119+J121+J123+J124+J126+J128+J129+J130+J132+J133+J135</f>
        <v>253.001</v>
      </c>
      <c r="K92" s="49">
        <f t="shared" si="11"/>
        <v>238.001</v>
      </c>
      <c r="L92" s="49">
        <f t="shared" si="11"/>
        <v>25.2</v>
      </c>
      <c r="M92" s="49">
        <f t="shared" si="11"/>
        <v>0</v>
      </c>
      <c r="N92" s="49">
        <f t="shared" si="11"/>
        <v>15</v>
      </c>
      <c r="O92" s="49">
        <f t="shared" si="11"/>
        <v>15</v>
      </c>
      <c r="P92" s="49">
        <f>J92+E92</f>
        <v>148350.41999999998</v>
      </c>
      <c r="Q92" s="13"/>
    </row>
    <row r="93" spans="1:17" ht="159" customHeight="1">
      <c r="A93" s="122" t="s">
        <v>104</v>
      </c>
      <c r="B93" s="122" t="s">
        <v>280</v>
      </c>
      <c r="C93" s="86"/>
      <c r="D93" s="56" t="s">
        <v>105</v>
      </c>
      <c r="E93" s="49">
        <f>F93+I93</f>
        <v>60145.8</v>
      </c>
      <c r="F93" s="71">
        <f>F94+F95+F97+F98+F99+F100</f>
        <v>60145.8</v>
      </c>
      <c r="G93" s="49"/>
      <c r="H93" s="49"/>
      <c r="I93" s="49"/>
      <c r="J93" s="49"/>
      <c r="K93" s="49"/>
      <c r="L93" s="49"/>
      <c r="M93" s="49"/>
      <c r="N93" s="49"/>
      <c r="O93" s="47"/>
      <c r="P93" s="63">
        <f aca="true" t="shared" si="12" ref="P93:P103">J93+E93</f>
        <v>60145.8</v>
      </c>
      <c r="Q93" s="13"/>
    </row>
    <row r="94" spans="1:17" ht="363.75" customHeight="1">
      <c r="A94" s="122" t="s">
        <v>33</v>
      </c>
      <c r="B94" s="122" t="s">
        <v>205</v>
      </c>
      <c r="C94" s="45" t="s">
        <v>180</v>
      </c>
      <c r="D94" s="115" t="s">
        <v>34</v>
      </c>
      <c r="E94" s="47">
        <f>F94+I94</f>
        <v>4749.689</v>
      </c>
      <c r="F94" s="78">
        <f>5049.689-300</f>
        <v>4749.689</v>
      </c>
      <c r="G94" s="47"/>
      <c r="H94" s="42"/>
      <c r="I94" s="47"/>
      <c r="J94" s="47"/>
      <c r="K94" s="47"/>
      <c r="L94" s="47"/>
      <c r="M94" s="47"/>
      <c r="N94" s="47"/>
      <c r="O94" s="78"/>
      <c r="P94" s="63">
        <f t="shared" si="12"/>
        <v>4749.689</v>
      </c>
      <c r="Q94" s="13"/>
    </row>
    <row r="95" spans="1:17" ht="408.75" customHeight="1">
      <c r="A95" s="122" t="s">
        <v>36</v>
      </c>
      <c r="B95" s="122" t="s">
        <v>206</v>
      </c>
      <c r="C95" s="45" t="s">
        <v>180</v>
      </c>
      <c r="D95" s="21" t="s">
        <v>281</v>
      </c>
      <c r="E95" s="47">
        <f aca="true" t="shared" si="13" ref="E95:E137">F95+I95</f>
        <v>226.587</v>
      </c>
      <c r="F95" s="78">
        <v>226.587</v>
      </c>
      <c r="G95" s="47"/>
      <c r="H95" s="42"/>
      <c r="I95" s="47"/>
      <c r="J95" s="47"/>
      <c r="K95" s="47"/>
      <c r="L95" s="47"/>
      <c r="M95" s="47"/>
      <c r="N95" s="47"/>
      <c r="O95" s="78"/>
      <c r="P95" s="63">
        <f t="shared" si="12"/>
        <v>226.587</v>
      </c>
      <c r="Q95" s="13"/>
    </row>
    <row r="96" spans="1:17" ht="315.75" customHeight="1">
      <c r="A96" s="122"/>
      <c r="B96" s="122"/>
      <c r="C96" s="72"/>
      <c r="D96" s="26" t="s">
        <v>282</v>
      </c>
      <c r="E96" s="47"/>
      <c r="F96" s="78"/>
      <c r="G96" s="47"/>
      <c r="H96" s="42"/>
      <c r="I96" s="47"/>
      <c r="J96" s="47"/>
      <c r="K96" s="47"/>
      <c r="L96" s="47"/>
      <c r="M96" s="47"/>
      <c r="N96" s="47"/>
      <c r="O96" s="47"/>
      <c r="P96" s="63">
        <f t="shared" si="12"/>
        <v>0</v>
      </c>
      <c r="Q96" s="13"/>
    </row>
    <row r="97" spans="1:17" ht="186" customHeight="1">
      <c r="A97" s="122" t="s">
        <v>38</v>
      </c>
      <c r="B97" s="122" t="s">
        <v>207</v>
      </c>
      <c r="C97" s="45" t="s">
        <v>181</v>
      </c>
      <c r="D97" s="56" t="s">
        <v>39</v>
      </c>
      <c r="E97" s="47">
        <f t="shared" si="13"/>
        <v>60</v>
      </c>
      <c r="F97" s="78">
        <f>110-50</f>
        <v>60</v>
      </c>
      <c r="G97" s="47"/>
      <c r="H97" s="42"/>
      <c r="I97" s="47"/>
      <c r="J97" s="47"/>
      <c r="K97" s="47"/>
      <c r="L97" s="47"/>
      <c r="M97" s="47"/>
      <c r="N97" s="47"/>
      <c r="O97" s="78"/>
      <c r="P97" s="63">
        <f t="shared" si="12"/>
        <v>60</v>
      </c>
      <c r="Q97" s="13"/>
    </row>
    <row r="98" spans="1:17" ht="348" customHeight="1">
      <c r="A98" s="122" t="s">
        <v>42</v>
      </c>
      <c r="B98" s="122" t="s">
        <v>208</v>
      </c>
      <c r="C98" s="45" t="s">
        <v>181</v>
      </c>
      <c r="D98" s="56" t="s">
        <v>283</v>
      </c>
      <c r="E98" s="47">
        <f t="shared" si="13"/>
        <v>660.903</v>
      </c>
      <c r="F98" s="78">
        <f>860.903-200</f>
        <v>660.903</v>
      </c>
      <c r="G98" s="47"/>
      <c r="H98" s="42"/>
      <c r="I98" s="47"/>
      <c r="J98" s="47"/>
      <c r="K98" s="47"/>
      <c r="L98" s="47"/>
      <c r="M98" s="47"/>
      <c r="N98" s="47"/>
      <c r="O98" s="78"/>
      <c r="P98" s="63">
        <f t="shared" si="12"/>
        <v>660.903</v>
      </c>
      <c r="Q98" s="13"/>
    </row>
    <row r="99" spans="1:17" ht="72" customHeight="1">
      <c r="A99" s="122" t="s">
        <v>47</v>
      </c>
      <c r="B99" s="122" t="s">
        <v>209</v>
      </c>
      <c r="C99" s="45" t="s">
        <v>181</v>
      </c>
      <c r="D99" s="56" t="s">
        <v>43</v>
      </c>
      <c r="E99" s="47">
        <f t="shared" si="13"/>
        <v>1006.3</v>
      </c>
      <c r="F99" s="78">
        <f>1206.3-200</f>
        <v>1006.3</v>
      </c>
      <c r="G99" s="47"/>
      <c r="H99" s="47"/>
      <c r="I99" s="47"/>
      <c r="J99" s="47"/>
      <c r="K99" s="47"/>
      <c r="L99" s="47"/>
      <c r="M99" s="47"/>
      <c r="N99" s="47"/>
      <c r="O99" s="78"/>
      <c r="P99" s="63">
        <f t="shared" si="12"/>
        <v>1006.3</v>
      </c>
      <c r="Q99" s="13"/>
    </row>
    <row r="100" spans="1:17" ht="67.5" customHeight="1">
      <c r="A100" s="122" t="s">
        <v>65</v>
      </c>
      <c r="B100" s="122" t="s">
        <v>210</v>
      </c>
      <c r="C100" s="45" t="s">
        <v>182</v>
      </c>
      <c r="D100" s="56" t="s">
        <v>66</v>
      </c>
      <c r="E100" s="47">
        <f t="shared" si="13"/>
        <v>53442.321</v>
      </c>
      <c r="F100" s="78">
        <f>39527.821+10567.1+3347.4</f>
        <v>53442.321</v>
      </c>
      <c r="G100" s="47"/>
      <c r="H100" s="42"/>
      <c r="I100" s="47"/>
      <c r="J100" s="47"/>
      <c r="K100" s="47"/>
      <c r="L100" s="47"/>
      <c r="M100" s="47"/>
      <c r="N100" s="47"/>
      <c r="O100" s="47"/>
      <c r="P100" s="63">
        <f t="shared" si="12"/>
        <v>53442.321</v>
      </c>
      <c r="Q100" s="13"/>
    </row>
    <row r="101" spans="1:17" ht="96" customHeight="1">
      <c r="A101" s="122" t="s">
        <v>106</v>
      </c>
      <c r="B101" s="122" t="s">
        <v>284</v>
      </c>
      <c r="C101" s="72"/>
      <c r="D101" s="56" t="s">
        <v>118</v>
      </c>
      <c r="E101" s="49">
        <f>F101+I101</f>
        <v>3297.4</v>
      </c>
      <c r="F101" s="71">
        <f>F102+F103+F105+F106+F107+F108</f>
        <v>3297.4</v>
      </c>
      <c r="G101" s="47"/>
      <c r="H101" s="42"/>
      <c r="I101" s="47"/>
      <c r="J101" s="47"/>
      <c r="K101" s="47"/>
      <c r="L101" s="47"/>
      <c r="M101" s="47"/>
      <c r="N101" s="47"/>
      <c r="O101" s="47"/>
      <c r="P101" s="63">
        <f t="shared" si="12"/>
        <v>3297.4</v>
      </c>
      <c r="Q101" s="13"/>
    </row>
    <row r="102" spans="1:17" ht="390.75" customHeight="1">
      <c r="A102" s="122" t="s">
        <v>35</v>
      </c>
      <c r="B102" s="122" t="s">
        <v>211</v>
      </c>
      <c r="C102" s="45" t="s">
        <v>180</v>
      </c>
      <c r="D102" s="56" t="s">
        <v>285</v>
      </c>
      <c r="E102" s="78">
        <f t="shared" si="13"/>
        <v>287.05955</v>
      </c>
      <c r="F102" s="78">
        <f>292-4.726-0.21445</f>
        <v>287.05955</v>
      </c>
      <c r="G102" s="47"/>
      <c r="H102" s="42"/>
      <c r="I102" s="47"/>
      <c r="J102" s="47"/>
      <c r="K102" s="47"/>
      <c r="L102" s="47"/>
      <c r="M102" s="47"/>
      <c r="N102" s="47"/>
      <c r="O102" s="78"/>
      <c r="P102" s="77">
        <f t="shared" si="12"/>
        <v>287.05955</v>
      </c>
      <c r="Q102" s="13"/>
    </row>
    <row r="103" spans="1:17" ht="409.5" customHeight="1">
      <c r="A103" s="122" t="s">
        <v>37</v>
      </c>
      <c r="B103" s="122" t="s">
        <v>212</v>
      </c>
      <c r="C103" s="45" t="s">
        <v>180</v>
      </c>
      <c r="D103" s="21" t="s">
        <v>286</v>
      </c>
      <c r="E103" s="78">
        <f t="shared" si="13"/>
        <v>2.162</v>
      </c>
      <c r="F103" s="78">
        <f>2+0.162</f>
        <v>2.162</v>
      </c>
      <c r="G103" s="47"/>
      <c r="H103" s="42"/>
      <c r="I103" s="47"/>
      <c r="J103" s="47"/>
      <c r="K103" s="47"/>
      <c r="L103" s="47"/>
      <c r="M103" s="47"/>
      <c r="N103" s="47"/>
      <c r="O103" s="78"/>
      <c r="P103" s="77">
        <f t="shared" si="12"/>
        <v>2.162</v>
      </c>
      <c r="Q103" s="13"/>
    </row>
    <row r="104" spans="1:17" ht="151.5" customHeight="1">
      <c r="A104" s="122"/>
      <c r="B104" s="122"/>
      <c r="C104" s="72"/>
      <c r="D104" s="21" t="s">
        <v>287</v>
      </c>
      <c r="E104" s="47"/>
      <c r="F104" s="78"/>
      <c r="G104" s="47"/>
      <c r="H104" s="42"/>
      <c r="I104" s="47"/>
      <c r="J104" s="47"/>
      <c r="K104" s="47"/>
      <c r="L104" s="47"/>
      <c r="M104" s="47"/>
      <c r="N104" s="47"/>
      <c r="O104" s="47"/>
      <c r="P104" s="63"/>
      <c r="Q104" s="13"/>
    </row>
    <row r="105" spans="1:17" ht="207.75" customHeight="1">
      <c r="A105" s="122" t="s">
        <v>40</v>
      </c>
      <c r="B105" s="122" t="s">
        <v>213</v>
      </c>
      <c r="C105" s="45" t="s">
        <v>181</v>
      </c>
      <c r="D105" s="56" t="s">
        <v>41</v>
      </c>
      <c r="E105" s="78">
        <f t="shared" si="13"/>
        <v>2.162</v>
      </c>
      <c r="F105" s="78">
        <f>3-0.838</f>
        <v>2.162</v>
      </c>
      <c r="G105" s="47"/>
      <c r="H105" s="42"/>
      <c r="I105" s="47"/>
      <c r="J105" s="47"/>
      <c r="K105" s="47"/>
      <c r="L105" s="47"/>
      <c r="M105" s="47"/>
      <c r="N105" s="47"/>
      <c r="O105" s="78"/>
      <c r="P105" s="77">
        <f aca="true" t="shared" si="14" ref="P105:P171">J105+E105</f>
        <v>2.162</v>
      </c>
      <c r="Q105" s="13"/>
    </row>
    <row r="106" spans="1:17" ht="320.25" customHeight="1">
      <c r="A106" s="122" t="s">
        <v>44</v>
      </c>
      <c r="B106" s="122" t="s">
        <v>214</v>
      </c>
      <c r="C106" s="45" t="s">
        <v>181</v>
      </c>
      <c r="D106" s="115" t="s">
        <v>288</v>
      </c>
      <c r="E106" s="78">
        <f t="shared" si="13"/>
        <v>135.09360999999998</v>
      </c>
      <c r="F106" s="78">
        <f>120+8.38805+5.65595+1.04961</f>
        <v>135.09360999999998</v>
      </c>
      <c r="G106" s="47"/>
      <c r="H106" s="42"/>
      <c r="I106" s="47"/>
      <c r="J106" s="47"/>
      <c r="K106" s="47"/>
      <c r="L106" s="47"/>
      <c r="M106" s="47"/>
      <c r="N106" s="47"/>
      <c r="O106" s="78"/>
      <c r="P106" s="77">
        <f t="shared" si="14"/>
        <v>135.09360999999998</v>
      </c>
      <c r="Q106" s="13"/>
    </row>
    <row r="107" spans="1:17" ht="84.75" customHeight="1">
      <c r="A107" s="122" t="s">
        <v>48</v>
      </c>
      <c r="B107" s="122" t="s">
        <v>215</v>
      </c>
      <c r="C107" s="45" t="s">
        <v>181</v>
      </c>
      <c r="D107" s="56" t="s">
        <v>49</v>
      </c>
      <c r="E107" s="78">
        <f t="shared" si="13"/>
        <v>197.46267000000003</v>
      </c>
      <c r="F107" s="78">
        <f>220.4-19.5502-3.66205+0.27492</f>
        <v>197.46267000000003</v>
      </c>
      <c r="G107" s="47"/>
      <c r="H107" s="47"/>
      <c r="I107" s="47"/>
      <c r="J107" s="47"/>
      <c r="K107" s="47"/>
      <c r="L107" s="47"/>
      <c r="M107" s="47"/>
      <c r="N107" s="47"/>
      <c r="O107" s="78"/>
      <c r="P107" s="77">
        <f t="shared" si="14"/>
        <v>197.46267000000003</v>
      </c>
      <c r="Q107" s="13"/>
    </row>
    <row r="108" spans="1:17" ht="113.25" customHeight="1">
      <c r="A108" s="122" t="s">
        <v>67</v>
      </c>
      <c r="B108" s="122" t="s">
        <v>216</v>
      </c>
      <c r="C108" s="45" t="s">
        <v>182</v>
      </c>
      <c r="D108" s="56" t="s">
        <v>68</v>
      </c>
      <c r="E108" s="47">
        <f t="shared" si="13"/>
        <v>2673.4601700000003</v>
      </c>
      <c r="F108" s="78">
        <f>2660+20.2262-5.4415-1.32453</f>
        <v>2673.4601700000003</v>
      </c>
      <c r="G108" s="47"/>
      <c r="H108" s="47"/>
      <c r="I108" s="47"/>
      <c r="J108" s="47"/>
      <c r="K108" s="47"/>
      <c r="L108" s="47"/>
      <c r="M108" s="47"/>
      <c r="N108" s="47"/>
      <c r="O108" s="47"/>
      <c r="P108" s="63">
        <f t="shared" si="14"/>
        <v>2673.4601700000003</v>
      </c>
      <c r="Q108" s="13"/>
    </row>
    <row r="109" spans="1:16" ht="139.5" customHeight="1">
      <c r="A109" s="122" t="s">
        <v>107</v>
      </c>
      <c r="B109" s="122" t="s">
        <v>289</v>
      </c>
      <c r="C109" s="72"/>
      <c r="D109" s="56" t="s">
        <v>108</v>
      </c>
      <c r="E109" s="47">
        <f>F109+I109</f>
        <v>76304.3</v>
      </c>
      <c r="F109" s="78">
        <f>F110+F111+F112+F113+F114+F115+F116+F117+F118</f>
        <v>76304.3</v>
      </c>
      <c r="G109" s="47"/>
      <c r="H109" s="47"/>
      <c r="I109" s="47"/>
      <c r="J109" s="47"/>
      <c r="K109" s="47"/>
      <c r="L109" s="47"/>
      <c r="M109" s="47"/>
      <c r="N109" s="47"/>
      <c r="O109" s="47"/>
      <c r="P109" s="47">
        <f t="shared" si="14"/>
        <v>76304.3</v>
      </c>
    </row>
    <row r="110" spans="1:16" ht="69.75" customHeight="1">
      <c r="A110" s="122" t="s">
        <v>50</v>
      </c>
      <c r="B110" s="122" t="s">
        <v>217</v>
      </c>
      <c r="C110" s="45" t="s">
        <v>173</v>
      </c>
      <c r="D110" s="56" t="s">
        <v>51</v>
      </c>
      <c r="E110" s="47">
        <f t="shared" si="13"/>
        <v>417</v>
      </c>
      <c r="F110" s="78">
        <f>517-50-50</f>
        <v>417</v>
      </c>
      <c r="G110" s="47"/>
      <c r="H110" s="47"/>
      <c r="I110" s="47"/>
      <c r="J110" s="47"/>
      <c r="K110" s="47"/>
      <c r="L110" s="47"/>
      <c r="M110" s="47"/>
      <c r="N110" s="47"/>
      <c r="O110" s="47"/>
      <c r="P110" s="47">
        <f t="shared" si="14"/>
        <v>417</v>
      </c>
    </row>
    <row r="111" spans="1:16" ht="76.5" customHeight="1">
      <c r="A111" s="122" t="s">
        <v>52</v>
      </c>
      <c r="B111" s="122" t="s">
        <v>218</v>
      </c>
      <c r="C111" s="45" t="s">
        <v>173</v>
      </c>
      <c r="D111" s="56" t="s">
        <v>130</v>
      </c>
      <c r="E111" s="47">
        <f t="shared" si="13"/>
        <v>29.26594</v>
      </c>
      <c r="F111" s="78">
        <f>228-180-18.73406</f>
        <v>29.26594</v>
      </c>
      <c r="G111" s="47"/>
      <c r="H111" s="47"/>
      <c r="I111" s="47"/>
      <c r="J111" s="47"/>
      <c r="K111" s="47"/>
      <c r="L111" s="47"/>
      <c r="M111" s="47"/>
      <c r="N111" s="47"/>
      <c r="O111" s="47"/>
      <c r="P111" s="47">
        <f t="shared" si="14"/>
        <v>29.26594</v>
      </c>
    </row>
    <row r="112" spans="1:16" ht="61.5" customHeight="1">
      <c r="A112" s="122" t="s">
        <v>53</v>
      </c>
      <c r="B112" s="122" t="s">
        <v>219</v>
      </c>
      <c r="C112" s="45" t="s">
        <v>173</v>
      </c>
      <c r="D112" s="56" t="s">
        <v>54</v>
      </c>
      <c r="E112" s="47">
        <f t="shared" si="13"/>
        <v>23631</v>
      </c>
      <c r="F112" s="78">
        <f>25931-2300</f>
        <v>23631</v>
      </c>
      <c r="G112" s="47"/>
      <c r="H112" s="47"/>
      <c r="I112" s="47"/>
      <c r="J112" s="47"/>
      <c r="K112" s="47"/>
      <c r="L112" s="47"/>
      <c r="M112" s="47"/>
      <c r="N112" s="47"/>
      <c r="O112" s="47"/>
      <c r="P112" s="47">
        <f t="shared" si="14"/>
        <v>23631</v>
      </c>
    </row>
    <row r="113" spans="1:16" ht="77.25" customHeight="1">
      <c r="A113" s="122" t="s">
        <v>55</v>
      </c>
      <c r="B113" s="122" t="s">
        <v>220</v>
      </c>
      <c r="C113" s="45" t="s">
        <v>173</v>
      </c>
      <c r="D113" s="56" t="s">
        <v>56</v>
      </c>
      <c r="E113" s="47">
        <f t="shared" si="13"/>
        <v>3765</v>
      </c>
      <c r="F113" s="78">
        <f>3595+60+110</f>
        <v>3765</v>
      </c>
      <c r="G113" s="47"/>
      <c r="H113" s="47"/>
      <c r="I113" s="47"/>
      <c r="J113" s="47"/>
      <c r="K113" s="47"/>
      <c r="L113" s="47"/>
      <c r="M113" s="47"/>
      <c r="N113" s="47"/>
      <c r="O113" s="47"/>
      <c r="P113" s="47">
        <f t="shared" si="14"/>
        <v>3765</v>
      </c>
    </row>
    <row r="114" spans="1:16" ht="66" customHeight="1">
      <c r="A114" s="122" t="s">
        <v>57</v>
      </c>
      <c r="B114" s="122" t="s">
        <v>221</v>
      </c>
      <c r="C114" s="45" t="s">
        <v>173</v>
      </c>
      <c r="D114" s="56" t="s">
        <v>58</v>
      </c>
      <c r="E114" s="47">
        <f t="shared" si="13"/>
        <v>13237.5</v>
      </c>
      <c r="F114" s="78">
        <f>11154+2433.5-350</f>
        <v>13237.5</v>
      </c>
      <c r="G114" s="47"/>
      <c r="H114" s="47"/>
      <c r="I114" s="47"/>
      <c r="J114" s="47"/>
      <c r="K114" s="47"/>
      <c r="L114" s="47"/>
      <c r="M114" s="47"/>
      <c r="N114" s="47"/>
      <c r="O114" s="47"/>
      <c r="P114" s="47">
        <f t="shared" si="14"/>
        <v>13237.5</v>
      </c>
    </row>
    <row r="115" spans="1:16" ht="65.25" customHeight="1">
      <c r="A115" s="122" t="s">
        <v>59</v>
      </c>
      <c r="B115" s="122" t="s">
        <v>222</v>
      </c>
      <c r="C115" s="45" t="s">
        <v>173</v>
      </c>
      <c r="D115" s="56" t="s">
        <v>60</v>
      </c>
      <c r="E115" s="47">
        <f t="shared" si="13"/>
        <v>437</v>
      </c>
      <c r="F115" s="78">
        <f>417+20</f>
        <v>437</v>
      </c>
      <c r="G115" s="47"/>
      <c r="H115" s="47"/>
      <c r="I115" s="47"/>
      <c r="J115" s="47"/>
      <c r="K115" s="47"/>
      <c r="L115" s="47"/>
      <c r="M115" s="47"/>
      <c r="N115" s="47"/>
      <c r="O115" s="47"/>
      <c r="P115" s="47">
        <f t="shared" si="14"/>
        <v>437</v>
      </c>
    </row>
    <row r="116" spans="1:16" ht="57.75" customHeight="1">
      <c r="A116" s="122" t="s">
        <v>61</v>
      </c>
      <c r="B116" s="122" t="s">
        <v>223</v>
      </c>
      <c r="C116" s="45" t="s">
        <v>173</v>
      </c>
      <c r="D116" s="56" t="s">
        <v>62</v>
      </c>
      <c r="E116" s="47">
        <f t="shared" si="13"/>
        <v>75.9</v>
      </c>
      <c r="F116" s="78">
        <f>69.4+6.5</f>
        <v>75.9</v>
      </c>
      <c r="G116" s="47"/>
      <c r="H116" s="47"/>
      <c r="I116" s="47"/>
      <c r="J116" s="47"/>
      <c r="K116" s="47"/>
      <c r="L116" s="47"/>
      <c r="M116" s="47"/>
      <c r="N116" s="47"/>
      <c r="O116" s="47"/>
      <c r="P116" s="47">
        <f t="shared" si="14"/>
        <v>75.9</v>
      </c>
    </row>
    <row r="117" spans="1:16" ht="66.75" customHeight="1">
      <c r="A117" s="122" t="s">
        <v>63</v>
      </c>
      <c r="B117" s="122" t="s">
        <v>224</v>
      </c>
      <c r="C117" s="45" t="s">
        <v>173</v>
      </c>
      <c r="D117" s="56" t="s">
        <v>64</v>
      </c>
      <c r="E117" s="47">
        <f t="shared" si="13"/>
        <v>25711.63406</v>
      </c>
      <c r="F117" s="78">
        <f>25561+150.63406</f>
        <v>25711.63406</v>
      </c>
      <c r="G117" s="47"/>
      <c r="H117" s="47"/>
      <c r="I117" s="47"/>
      <c r="J117" s="47"/>
      <c r="K117" s="47"/>
      <c r="L117" s="47"/>
      <c r="M117" s="47"/>
      <c r="N117" s="47"/>
      <c r="O117" s="47"/>
      <c r="P117" s="47">
        <f t="shared" si="14"/>
        <v>25711.63406</v>
      </c>
    </row>
    <row r="118" spans="1:16" ht="78" customHeight="1">
      <c r="A118" s="122" t="s">
        <v>79</v>
      </c>
      <c r="B118" s="122" t="s">
        <v>225</v>
      </c>
      <c r="C118" s="45" t="s">
        <v>183</v>
      </c>
      <c r="D118" s="56" t="s">
        <v>80</v>
      </c>
      <c r="E118" s="47">
        <f t="shared" si="13"/>
        <v>9000</v>
      </c>
      <c r="F118" s="78">
        <f>8900+30+70</f>
        <v>9000</v>
      </c>
      <c r="G118" s="47"/>
      <c r="H118" s="47"/>
      <c r="I118" s="47"/>
      <c r="J118" s="47"/>
      <c r="K118" s="47"/>
      <c r="L118" s="47"/>
      <c r="M118" s="47"/>
      <c r="N118" s="47"/>
      <c r="O118" s="47"/>
      <c r="P118" s="47">
        <f t="shared" si="14"/>
        <v>9000</v>
      </c>
    </row>
    <row r="119" spans="1:16" ht="70.5" customHeight="1">
      <c r="A119" s="122" t="s">
        <v>335</v>
      </c>
      <c r="B119" s="122" t="s">
        <v>226</v>
      </c>
      <c r="C119" s="45" t="s">
        <v>183</v>
      </c>
      <c r="D119" s="56" t="s">
        <v>73</v>
      </c>
      <c r="E119" s="47">
        <f>F119</f>
        <v>824</v>
      </c>
      <c r="F119" s="78">
        <f>755.9+68.1</f>
        <v>824</v>
      </c>
      <c r="G119" s="47"/>
      <c r="H119" s="47"/>
      <c r="I119" s="47"/>
      <c r="J119" s="47"/>
      <c r="K119" s="47"/>
      <c r="L119" s="47"/>
      <c r="M119" s="47"/>
      <c r="N119" s="47"/>
      <c r="O119" s="47"/>
      <c r="P119" s="47">
        <f t="shared" si="14"/>
        <v>824</v>
      </c>
    </row>
    <row r="120" spans="1:16" ht="105" customHeight="1">
      <c r="A120" s="122" t="s">
        <v>45</v>
      </c>
      <c r="B120" s="122" t="s">
        <v>227</v>
      </c>
      <c r="C120" s="45" t="s">
        <v>181</v>
      </c>
      <c r="D120" s="56" t="s">
        <v>46</v>
      </c>
      <c r="E120" s="47">
        <f t="shared" si="13"/>
        <v>78</v>
      </c>
      <c r="F120" s="78">
        <v>78</v>
      </c>
      <c r="G120" s="47"/>
      <c r="H120" s="42"/>
      <c r="I120" s="47"/>
      <c r="J120" s="47"/>
      <c r="K120" s="47"/>
      <c r="L120" s="47"/>
      <c r="M120" s="47"/>
      <c r="N120" s="47"/>
      <c r="O120" s="47"/>
      <c r="P120" s="47">
        <f t="shared" si="14"/>
        <v>78</v>
      </c>
    </row>
    <row r="121" spans="1:16" ht="57.75" customHeight="1">
      <c r="A121" s="122" t="s">
        <v>71</v>
      </c>
      <c r="B121" s="122" t="s">
        <v>228</v>
      </c>
      <c r="C121" s="45" t="s">
        <v>180</v>
      </c>
      <c r="D121" s="56" t="s">
        <v>72</v>
      </c>
      <c r="E121" s="47">
        <f t="shared" si="13"/>
        <v>21.4</v>
      </c>
      <c r="F121" s="78">
        <v>21.4</v>
      </c>
      <c r="G121" s="47"/>
      <c r="H121" s="47"/>
      <c r="I121" s="47"/>
      <c r="J121" s="47"/>
      <c r="K121" s="47"/>
      <c r="L121" s="47"/>
      <c r="M121" s="47"/>
      <c r="N121" s="47"/>
      <c r="O121" s="47"/>
      <c r="P121" s="47">
        <f t="shared" si="14"/>
        <v>21.4</v>
      </c>
    </row>
    <row r="122" spans="1:16" ht="122.25" customHeight="1">
      <c r="A122" s="122" t="s">
        <v>109</v>
      </c>
      <c r="B122" s="122" t="s">
        <v>290</v>
      </c>
      <c r="C122" s="72"/>
      <c r="D122" s="56" t="s">
        <v>110</v>
      </c>
      <c r="E122" s="47">
        <f t="shared" si="13"/>
        <v>6488.090999999999</v>
      </c>
      <c r="F122" s="78">
        <f>F123+F124</f>
        <v>6488.090999999999</v>
      </c>
      <c r="G122" s="47">
        <f>G123+G124</f>
        <v>4558.255999999999</v>
      </c>
      <c r="H122" s="47">
        <f aca="true" t="shared" si="15" ref="H122:O122">H123+H124</f>
        <v>241.20000000000002</v>
      </c>
      <c r="I122" s="47">
        <f t="shared" si="15"/>
        <v>0</v>
      </c>
      <c r="J122" s="47">
        <f t="shared" si="15"/>
        <v>253.001</v>
      </c>
      <c r="K122" s="47">
        <f t="shared" si="15"/>
        <v>238.001</v>
      </c>
      <c r="L122" s="47">
        <f t="shared" si="15"/>
        <v>25.2</v>
      </c>
      <c r="M122" s="47">
        <f t="shared" si="15"/>
        <v>0</v>
      </c>
      <c r="N122" s="47">
        <f t="shared" si="15"/>
        <v>15</v>
      </c>
      <c r="O122" s="47">
        <f t="shared" si="15"/>
        <v>15</v>
      </c>
      <c r="P122" s="47">
        <f t="shared" si="14"/>
        <v>6741.092</v>
      </c>
    </row>
    <row r="123" spans="1:16" ht="131.25" customHeight="1">
      <c r="A123" s="122" t="s">
        <v>257</v>
      </c>
      <c r="B123" s="122" t="s">
        <v>256</v>
      </c>
      <c r="C123" s="45" t="s">
        <v>184</v>
      </c>
      <c r="D123" s="56" t="s">
        <v>396</v>
      </c>
      <c r="E123" s="47">
        <f t="shared" si="13"/>
        <v>5964.82</v>
      </c>
      <c r="F123" s="78">
        <f>2678.1+3113.4+80+25+12+56.32</f>
        <v>5964.82</v>
      </c>
      <c r="G123" s="47">
        <f>1939.9+2290.1+8.2</f>
        <v>4238.2</v>
      </c>
      <c r="H123" s="47">
        <f>108.3+118</f>
        <v>226.3</v>
      </c>
      <c r="I123" s="47"/>
      <c r="J123" s="47">
        <f>K123+N123</f>
        <v>253.001</v>
      </c>
      <c r="K123" s="47">
        <v>238.001</v>
      </c>
      <c r="L123" s="47">
        <v>25.2</v>
      </c>
      <c r="M123" s="47"/>
      <c r="N123" s="47">
        <f>O123</f>
        <v>15</v>
      </c>
      <c r="O123" s="47">
        <v>15</v>
      </c>
      <c r="P123" s="47">
        <f t="shared" si="14"/>
        <v>6217.821</v>
      </c>
    </row>
    <row r="124" spans="1:16" ht="62.25" customHeight="1">
      <c r="A124" s="122" t="s">
        <v>137</v>
      </c>
      <c r="B124" s="122" t="s">
        <v>229</v>
      </c>
      <c r="C124" s="45" t="s">
        <v>183</v>
      </c>
      <c r="D124" s="56" t="s">
        <v>76</v>
      </c>
      <c r="E124" s="47">
        <f t="shared" si="13"/>
        <v>523.2710000000001</v>
      </c>
      <c r="F124" s="87">
        <f>470+4.915+17+31.356</f>
        <v>523.2710000000001</v>
      </c>
      <c r="G124" s="88">
        <f>313+7.056</f>
        <v>320.056</v>
      </c>
      <c r="H124" s="47">
        <v>14.9</v>
      </c>
      <c r="I124" s="47"/>
      <c r="J124" s="47"/>
      <c r="K124" s="47"/>
      <c r="L124" s="47"/>
      <c r="M124" s="47"/>
      <c r="N124" s="47"/>
      <c r="O124" s="47"/>
      <c r="P124" s="47">
        <f t="shared" si="14"/>
        <v>523.2710000000001</v>
      </c>
    </row>
    <row r="125" spans="1:16" ht="81" customHeight="1">
      <c r="A125" s="122" t="s">
        <v>111</v>
      </c>
      <c r="B125" s="122" t="s">
        <v>291</v>
      </c>
      <c r="C125" s="72"/>
      <c r="D125" s="56" t="s">
        <v>112</v>
      </c>
      <c r="E125" s="47">
        <f t="shared" si="13"/>
        <v>248.33100000000002</v>
      </c>
      <c r="F125" s="87">
        <f>F126</f>
        <v>248.33100000000002</v>
      </c>
      <c r="G125" s="88">
        <f aca="true" t="shared" si="16" ref="G125:N125">G126</f>
        <v>201.6</v>
      </c>
      <c r="H125" s="88">
        <f t="shared" si="16"/>
        <v>3.7499999999999996</v>
      </c>
      <c r="I125" s="88">
        <f t="shared" si="16"/>
        <v>0</v>
      </c>
      <c r="J125" s="88">
        <f t="shared" si="16"/>
        <v>0</v>
      </c>
      <c r="K125" s="88">
        <f t="shared" si="16"/>
        <v>0</v>
      </c>
      <c r="L125" s="88">
        <f t="shared" si="16"/>
        <v>0</v>
      </c>
      <c r="M125" s="88">
        <f t="shared" si="16"/>
        <v>0</v>
      </c>
      <c r="N125" s="88">
        <f t="shared" si="16"/>
        <v>0</v>
      </c>
      <c r="O125" s="88"/>
      <c r="P125" s="47">
        <f t="shared" si="14"/>
        <v>248.33100000000002</v>
      </c>
    </row>
    <row r="126" spans="1:16" ht="75" customHeight="1">
      <c r="A126" s="122" t="s">
        <v>96</v>
      </c>
      <c r="B126" s="122" t="s">
        <v>230</v>
      </c>
      <c r="C126" s="45" t="s">
        <v>173</v>
      </c>
      <c r="D126" s="52" t="s">
        <v>27</v>
      </c>
      <c r="E126" s="47">
        <f t="shared" si="13"/>
        <v>248.33100000000002</v>
      </c>
      <c r="F126" s="77">
        <f>101.5+155.1-8.269</f>
        <v>248.33100000000002</v>
      </c>
      <c r="G126" s="63">
        <f>80.6+123-2</f>
        <v>201.6</v>
      </c>
      <c r="H126" s="63">
        <f>1.2+1.9+0.65</f>
        <v>3.7499999999999996</v>
      </c>
      <c r="I126" s="63"/>
      <c r="J126" s="63"/>
      <c r="K126" s="63"/>
      <c r="L126" s="63"/>
      <c r="M126" s="63"/>
      <c r="N126" s="63"/>
      <c r="O126" s="63"/>
      <c r="P126" s="47">
        <f t="shared" si="14"/>
        <v>248.33100000000002</v>
      </c>
    </row>
    <row r="127" spans="1:16" ht="193.5" customHeight="1">
      <c r="A127" s="122" t="s">
        <v>113</v>
      </c>
      <c r="B127" s="122" t="s">
        <v>292</v>
      </c>
      <c r="C127" s="80"/>
      <c r="D127" s="89" t="s">
        <v>114</v>
      </c>
      <c r="E127" s="47">
        <f t="shared" si="13"/>
        <v>365.004</v>
      </c>
      <c r="F127" s="78">
        <f>F128+F129+F130</f>
        <v>365.004</v>
      </c>
      <c r="G127" s="83"/>
      <c r="H127" s="83"/>
      <c r="I127" s="83"/>
      <c r="J127" s="83"/>
      <c r="K127" s="83"/>
      <c r="L127" s="83"/>
      <c r="M127" s="83"/>
      <c r="N127" s="83"/>
      <c r="O127" s="83"/>
      <c r="P127" s="47">
        <f t="shared" si="14"/>
        <v>365.004</v>
      </c>
    </row>
    <row r="128" spans="1:16" ht="154.5" customHeight="1">
      <c r="A128" s="122" t="s">
        <v>74</v>
      </c>
      <c r="B128" s="122" t="s">
        <v>231</v>
      </c>
      <c r="C128" s="45" t="s">
        <v>183</v>
      </c>
      <c r="D128" s="56" t="s">
        <v>75</v>
      </c>
      <c r="E128" s="47">
        <f t="shared" si="13"/>
        <v>353.504</v>
      </c>
      <c r="F128" s="78">
        <f>200+17.2+207.304-80+9</f>
        <v>353.504</v>
      </c>
      <c r="G128" s="83"/>
      <c r="H128" s="83"/>
      <c r="I128" s="83"/>
      <c r="J128" s="83"/>
      <c r="K128" s="83"/>
      <c r="L128" s="83"/>
      <c r="M128" s="83"/>
      <c r="N128" s="83"/>
      <c r="O128" s="83"/>
      <c r="P128" s="47">
        <f t="shared" si="14"/>
        <v>353.504</v>
      </c>
    </row>
    <row r="129" spans="1:16" ht="112.5" customHeight="1">
      <c r="A129" s="122" t="s">
        <v>81</v>
      </c>
      <c r="B129" s="122" t="s">
        <v>232</v>
      </c>
      <c r="C129" s="45" t="s">
        <v>183</v>
      </c>
      <c r="D129" s="56" t="s">
        <v>82</v>
      </c>
      <c r="E129" s="47">
        <f t="shared" si="13"/>
        <v>11.5</v>
      </c>
      <c r="F129" s="78">
        <f>11.3+0.2</f>
        <v>11.5</v>
      </c>
      <c r="G129" s="83"/>
      <c r="H129" s="83"/>
      <c r="I129" s="83"/>
      <c r="J129" s="83"/>
      <c r="K129" s="83"/>
      <c r="L129" s="83"/>
      <c r="M129" s="83"/>
      <c r="N129" s="83"/>
      <c r="O129" s="83"/>
      <c r="P129" s="47">
        <f t="shared" si="14"/>
        <v>11.5</v>
      </c>
    </row>
    <row r="130" spans="1:16" ht="71.25" customHeight="1">
      <c r="A130" s="122" t="s">
        <v>83</v>
      </c>
      <c r="B130" s="122" t="s">
        <v>233</v>
      </c>
      <c r="C130" s="45" t="s">
        <v>183</v>
      </c>
      <c r="D130" s="56" t="s">
        <v>293</v>
      </c>
      <c r="E130" s="47">
        <f t="shared" si="13"/>
        <v>0</v>
      </c>
      <c r="F130" s="78">
        <f>0.2-0.2</f>
        <v>0</v>
      </c>
      <c r="G130" s="83"/>
      <c r="H130" s="83"/>
      <c r="I130" s="83"/>
      <c r="J130" s="83"/>
      <c r="K130" s="83"/>
      <c r="L130" s="83"/>
      <c r="M130" s="83"/>
      <c r="N130" s="83"/>
      <c r="O130" s="83"/>
      <c r="P130" s="47">
        <f t="shared" si="14"/>
        <v>0</v>
      </c>
    </row>
    <row r="131" spans="1:16" ht="63.75" customHeight="1">
      <c r="A131" s="122" t="s">
        <v>115</v>
      </c>
      <c r="B131" s="122" t="s">
        <v>294</v>
      </c>
      <c r="C131" s="72"/>
      <c r="D131" s="56" t="s">
        <v>116</v>
      </c>
      <c r="E131" s="49">
        <f t="shared" si="13"/>
        <v>268.123</v>
      </c>
      <c r="F131" s="71">
        <f>F132+F133</f>
        <v>268.123</v>
      </c>
      <c r="G131" s="83"/>
      <c r="H131" s="83"/>
      <c r="I131" s="83"/>
      <c r="J131" s="83"/>
      <c r="K131" s="83"/>
      <c r="L131" s="83"/>
      <c r="M131" s="83"/>
      <c r="N131" s="83"/>
      <c r="O131" s="83"/>
      <c r="P131" s="47">
        <f t="shared" si="14"/>
        <v>268.123</v>
      </c>
    </row>
    <row r="132" spans="1:16" ht="64.5" customHeight="1">
      <c r="A132" s="122" t="s">
        <v>70</v>
      </c>
      <c r="B132" s="122" t="s">
        <v>234</v>
      </c>
      <c r="C132" s="45" t="s">
        <v>180</v>
      </c>
      <c r="D132" s="52" t="s">
        <v>15</v>
      </c>
      <c r="E132" s="47">
        <f t="shared" si="13"/>
        <v>187</v>
      </c>
      <c r="F132" s="78">
        <f>20+67.6+21+3+12.5+30+67.4-34.5</f>
        <v>187</v>
      </c>
      <c r="G132" s="83"/>
      <c r="H132" s="83"/>
      <c r="I132" s="83"/>
      <c r="J132" s="83"/>
      <c r="K132" s="83"/>
      <c r="L132" s="83"/>
      <c r="M132" s="83"/>
      <c r="N132" s="83"/>
      <c r="O132" s="83"/>
      <c r="P132" s="47">
        <f t="shared" si="14"/>
        <v>187</v>
      </c>
    </row>
    <row r="133" spans="1:16" ht="110.25" customHeight="1">
      <c r="A133" s="122" t="s">
        <v>77</v>
      </c>
      <c r="B133" s="122" t="s">
        <v>235</v>
      </c>
      <c r="C133" s="45" t="s">
        <v>180</v>
      </c>
      <c r="D133" s="56" t="s">
        <v>78</v>
      </c>
      <c r="E133" s="47">
        <f t="shared" si="13"/>
        <v>81.123</v>
      </c>
      <c r="F133" s="78">
        <f>67.8+8.4+4.923</f>
        <v>81.123</v>
      </c>
      <c r="G133" s="47"/>
      <c r="H133" s="83"/>
      <c r="I133" s="83"/>
      <c r="J133" s="83"/>
      <c r="K133" s="83"/>
      <c r="L133" s="83"/>
      <c r="M133" s="83"/>
      <c r="N133" s="83"/>
      <c r="O133" s="83"/>
      <c r="P133" s="47">
        <f t="shared" si="14"/>
        <v>81.123</v>
      </c>
    </row>
    <row r="134" spans="1:16" ht="69" customHeight="1">
      <c r="A134" s="122" t="s">
        <v>117</v>
      </c>
      <c r="B134" s="122" t="s">
        <v>236</v>
      </c>
      <c r="C134" s="45" t="s">
        <v>185</v>
      </c>
      <c r="D134" s="56" t="s">
        <v>13</v>
      </c>
      <c r="E134" s="47">
        <f t="shared" si="13"/>
        <v>56.97</v>
      </c>
      <c r="F134" s="78">
        <f>F135+F136</f>
        <v>56.97</v>
      </c>
      <c r="G134" s="83"/>
      <c r="H134" s="83"/>
      <c r="I134" s="83"/>
      <c r="J134" s="83"/>
      <c r="K134" s="83"/>
      <c r="L134" s="83"/>
      <c r="M134" s="83"/>
      <c r="N134" s="83"/>
      <c r="O134" s="83"/>
      <c r="P134" s="47">
        <f t="shared" si="14"/>
        <v>56.97</v>
      </c>
    </row>
    <row r="135" spans="1:16" ht="78.75" customHeight="1">
      <c r="A135" s="122" t="s">
        <v>69</v>
      </c>
      <c r="B135" s="122" t="s">
        <v>237</v>
      </c>
      <c r="C135" s="45" t="s">
        <v>185</v>
      </c>
      <c r="D135" s="90" t="s">
        <v>295</v>
      </c>
      <c r="E135" s="47">
        <f t="shared" si="13"/>
        <v>36.97</v>
      </c>
      <c r="F135" s="78">
        <f>26.1+6+30+9.9+1.8-12.5-30+5.67</f>
        <v>36.97</v>
      </c>
      <c r="G135" s="83"/>
      <c r="H135" s="83"/>
      <c r="I135" s="83"/>
      <c r="J135" s="83"/>
      <c r="K135" s="83"/>
      <c r="L135" s="83"/>
      <c r="M135" s="83"/>
      <c r="N135" s="83"/>
      <c r="O135" s="83"/>
      <c r="P135" s="47">
        <f t="shared" si="14"/>
        <v>36.97</v>
      </c>
    </row>
    <row r="136" spans="1:16" ht="77.25" customHeight="1">
      <c r="A136" s="122" t="s">
        <v>164</v>
      </c>
      <c r="B136" s="122" t="s">
        <v>238</v>
      </c>
      <c r="C136" s="45" t="s">
        <v>185</v>
      </c>
      <c r="D136" s="90" t="s">
        <v>296</v>
      </c>
      <c r="E136" s="47">
        <f>F136</f>
        <v>20</v>
      </c>
      <c r="F136" s="78">
        <f>10+10</f>
        <v>20</v>
      </c>
      <c r="G136" s="83"/>
      <c r="H136" s="83"/>
      <c r="I136" s="83"/>
      <c r="J136" s="83"/>
      <c r="K136" s="83"/>
      <c r="L136" s="83"/>
      <c r="M136" s="83"/>
      <c r="N136" s="83"/>
      <c r="O136" s="83"/>
      <c r="P136" s="47">
        <f t="shared" si="14"/>
        <v>20</v>
      </c>
    </row>
    <row r="137" spans="1:16" ht="153.75" customHeight="1">
      <c r="A137" s="122" t="s">
        <v>138</v>
      </c>
      <c r="B137" s="122" t="s">
        <v>182</v>
      </c>
      <c r="C137" s="45" t="s">
        <v>186</v>
      </c>
      <c r="D137" s="56" t="s">
        <v>397</v>
      </c>
      <c r="E137" s="47">
        <f t="shared" si="13"/>
        <v>702.4</v>
      </c>
      <c r="F137" s="78">
        <f>F138+F139</f>
        <v>702.4</v>
      </c>
      <c r="G137" s="47"/>
      <c r="H137" s="83"/>
      <c r="I137" s="83"/>
      <c r="J137" s="83"/>
      <c r="K137" s="83"/>
      <c r="L137" s="83"/>
      <c r="M137" s="83"/>
      <c r="N137" s="83"/>
      <c r="O137" s="83"/>
      <c r="P137" s="47">
        <f t="shared" si="14"/>
        <v>702.4</v>
      </c>
    </row>
    <row r="138" spans="1:16" ht="36.75" customHeight="1">
      <c r="A138" s="122"/>
      <c r="B138" s="122"/>
      <c r="C138" s="45"/>
      <c r="D138" s="56" t="s">
        <v>336</v>
      </c>
      <c r="E138" s="47">
        <f>F138</f>
        <v>688.4</v>
      </c>
      <c r="F138" s="78">
        <f>743.3-54.9</f>
        <v>688.4</v>
      </c>
      <c r="G138" s="47"/>
      <c r="H138" s="83"/>
      <c r="I138" s="83"/>
      <c r="J138" s="83"/>
      <c r="K138" s="83"/>
      <c r="L138" s="83"/>
      <c r="M138" s="83"/>
      <c r="N138" s="83"/>
      <c r="O138" s="83"/>
      <c r="P138" s="47">
        <f t="shared" si="14"/>
        <v>688.4</v>
      </c>
    </row>
    <row r="139" spans="1:16" ht="33.75" customHeight="1">
      <c r="A139" s="122"/>
      <c r="B139" s="122"/>
      <c r="C139" s="45"/>
      <c r="D139" s="56" t="s">
        <v>337</v>
      </c>
      <c r="E139" s="47">
        <f>F139</f>
        <v>14</v>
      </c>
      <c r="F139" s="78">
        <v>14</v>
      </c>
      <c r="G139" s="47"/>
      <c r="H139" s="83"/>
      <c r="I139" s="83"/>
      <c r="J139" s="83"/>
      <c r="K139" s="83"/>
      <c r="L139" s="83"/>
      <c r="M139" s="83"/>
      <c r="N139" s="83"/>
      <c r="O139" s="83"/>
      <c r="P139" s="47">
        <f t="shared" si="14"/>
        <v>14</v>
      </c>
    </row>
    <row r="140" spans="1:16" ht="201.75" customHeight="1">
      <c r="A140" s="132" t="s">
        <v>363</v>
      </c>
      <c r="B140" s="132" t="s">
        <v>364</v>
      </c>
      <c r="C140" s="91"/>
      <c r="D140" s="124" t="s">
        <v>365</v>
      </c>
      <c r="E140" s="47">
        <f>F140</f>
        <v>261.24527</v>
      </c>
      <c r="F140" s="78">
        <f>F141+F142</f>
        <v>261.24527</v>
      </c>
      <c r="G140" s="47"/>
      <c r="H140" s="83"/>
      <c r="I140" s="83"/>
      <c r="J140" s="83"/>
      <c r="K140" s="83"/>
      <c r="L140" s="83"/>
      <c r="M140" s="83"/>
      <c r="N140" s="83"/>
      <c r="O140" s="83"/>
      <c r="P140" s="47">
        <f t="shared" si="14"/>
        <v>261.24527</v>
      </c>
    </row>
    <row r="141" spans="1:16" ht="78.75" customHeight="1">
      <c r="A141" s="122" t="s">
        <v>316</v>
      </c>
      <c r="B141" s="122" t="s">
        <v>317</v>
      </c>
      <c r="C141" s="45" t="s">
        <v>181</v>
      </c>
      <c r="D141" s="56" t="s">
        <v>318</v>
      </c>
      <c r="E141" s="71">
        <f>F141</f>
        <v>187.84527</v>
      </c>
      <c r="F141" s="78">
        <f>0.8+1+3.6+95.84527+6.6+80</f>
        <v>187.84527</v>
      </c>
      <c r="G141" s="78"/>
      <c r="H141" s="83"/>
      <c r="I141" s="83"/>
      <c r="J141" s="83"/>
      <c r="K141" s="83"/>
      <c r="L141" s="83"/>
      <c r="M141" s="83"/>
      <c r="N141" s="83"/>
      <c r="O141" s="83"/>
      <c r="P141" s="47">
        <f t="shared" si="14"/>
        <v>187.84527</v>
      </c>
    </row>
    <row r="142" spans="1:16" ht="95.25" customHeight="1">
      <c r="A142" s="122" t="s">
        <v>354</v>
      </c>
      <c r="B142" s="122" t="s">
        <v>355</v>
      </c>
      <c r="C142" s="45" t="s">
        <v>181</v>
      </c>
      <c r="D142" s="56" t="s">
        <v>356</v>
      </c>
      <c r="E142" s="49">
        <f>F142</f>
        <v>73.4</v>
      </c>
      <c r="F142" s="47">
        <f>41+129+12.4-109</f>
        <v>73.4</v>
      </c>
      <c r="G142" s="47"/>
      <c r="H142" s="83"/>
      <c r="I142" s="83"/>
      <c r="J142" s="83"/>
      <c r="K142" s="83"/>
      <c r="L142" s="83"/>
      <c r="M142" s="83"/>
      <c r="N142" s="83"/>
      <c r="O142" s="83"/>
      <c r="P142" s="47">
        <f t="shared" si="14"/>
        <v>73.4</v>
      </c>
    </row>
    <row r="143" spans="1:16" ht="41.25" customHeight="1">
      <c r="A143" s="122" t="s">
        <v>319</v>
      </c>
      <c r="B143" s="122" t="s">
        <v>320</v>
      </c>
      <c r="C143" s="45" t="s">
        <v>173</v>
      </c>
      <c r="D143" s="90" t="s">
        <v>102</v>
      </c>
      <c r="E143" s="49">
        <f>F143+I143</f>
        <v>42.944</v>
      </c>
      <c r="F143" s="78">
        <v>42.944</v>
      </c>
      <c r="G143" s="47"/>
      <c r="H143" s="83"/>
      <c r="I143" s="83"/>
      <c r="J143" s="83"/>
      <c r="K143" s="83"/>
      <c r="L143" s="83"/>
      <c r="M143" s="83"/>
      <c r="N143" s="83"/>
      <c r="O143" s="83"/>
      <c r="P143" s="47">
        <f t="shared" si="14"/>
        <v>42.944</v>
      </c>
    </row>
    <row r="144" spans="1:16" ht="102.75" customHeight="1">
      <c r="A144" s="122" t="s">
        <v>321</v>
      </c>
      <c r="B144" s="122" t="s">
        <v>322</v>
      </c>
      <c r="C144" s="45" t="s">
        <v>173</v>
      </c>
      <c r="D144" s="90" t="s">
        <v>323</v>
      </c>
      <c r="E144" s="49">
        <f>F144+I144</f>
        <v>42.944</v>
      </c>
      <c r="F144" s="78">
        <v>42.944</v>
      </c>
      <c r="G144" s="47"/>
      <c r="H144" s="83"/>
      <c r="I144" s="83"/>
      <c r="J144" s="83"/>
      <c r="K144" s="83"/>
      <c r="L144" s="83"/>
      <c r="M144" s="83"/>
      <c r="N144" s="83"/>
      <c r="O144" s="83"/>
      <c r="P144" s="47">
        <f t="shared" si="14"/>
        <v>42.944</v>
      </c>
    </row>
    <row r="145" spans="1:16" ht="71.25" customHeight="1">
      <c r="A145" s="122" t="s">
        <v>409</v>
      </c>
      <c r="B145" s="122" t="s">
        <v>313</v>
      </c>
      <c r="C145" s="64" t="s">
        <v>314</v>
      </c>
      <c r="D145" s="56" t="s">
        <v>315</v>
      </c>
      <c r="E145" s="78"/>
      <c r="F145" s="78"/>
      <c r="G145" s="78"/>
      <c r="H145" s="78"/>
      <c r="I145" s="47"/>
      <c r="J145" s="47">
        <f>N145</f>
        <v>11</v>
      </c>
      <c r="K145" s="47"/>
      <c r="L145" s="47"/>
      <c r="M145" s="47"/>
      <c r="N145" s="47">
        <f>O145</f>
        <v>11</v>
      </c>
      <c r="O145" s="47">
        <v>11</v>
      </c>
      <c r="P145" s="71">
        <f t="shared" si="14"/>
        <v>11</v>
      </c>
    </row>
    <row r="146" spans="1:16" ht="48.75" customHeight="1">
      <c r="A146" s="122" t="s">
        <v>412</v>
      </c>
      <c r="B146" s="122" t="s">
        <v>203</v>
      </c>
      <c r="C146" s="72" t="s">
        <v>179</v>
      </c>
      <c r="D146" s="56" t="s">
        <v>148</v>
      </c>
      <c r="E146" s="78">
        <f>E147</f>
        <v>250</v>
      </c>
      <c r="F146" s="78">
        <f aca="true" t="shared" si="17" ref="F146:O146">F147</f>
        <v>0</v>
      </c>
      <c r="G146" s="78">
        <f t="shared" si="17"/>
        <v>0</v>
      </c>
      <c r="H146" s="78">
        <f t="shared" si="17"/>
        <v>0</v>
      </c>
      <c r="I146" s="78">
        <f t="shared" si="17"/>
        <v>250</v>
      </c>
      <c r="J146" s="78">
        <f t="shared" si="17"/>
        <v>0</v>
      </c>
      <c r="K146" s="78">
        <f t="shared" si="17"/>
        <v>0</v>
      </c>
      <c r="L146" s="78">
        <f t="shared" si="17"/>
        <v>0</v>
      </c>
      <c r="M146" s="78">
        <f t="shared" si="17"/>
        <v>0</v>
      </c>
      <c r="N146" s="78">
        <f t="shared" si="17"/>
        <v>0</v>
      </c>
      <c r="O146" s="78">
        <f t="shared" si="17"/>
        <v>0</v>
      </c>
      <c r="P146" s="71">
        <f t="shared" si="14"/>
        <v>250</v>
      </c>
    </row>
    <row r="147" spans="1:16" ht="141.75" customHeight="1">
      <c r="A147" s="122" t="s">
        <v>413</v>
      </c>
      <c r="B147" s="122" t="s">
        <v>204</v>
      </c>
      <c r="C147" s="45" t="s">
        <v>179</v>
      </c>
      <c r="D147" s="115" t="s">
        <v>411</v>
      </c>
      <c r="E147" s="78">
        <f>F147+I147</f>
        <v>250</v>
      </c>
      <c r="F147" s="78"/>
      <c r="G147" s="78"/>
      <c r="H147" s="78"/>
      <c r="I147" s="134">
        <v>250</v>
      </c>
      <c r="J147" s="47"/>
      <c r="K147" s="47"/>
      <c r="L147" s="47"/>
      <c r="M147" s="47"/>
      <c r="N147" s="47"/>
      <c r="O147" s="47"/>
      <c r="P147" s="71">
        <f>J147+E147</f>
        <v>250</v>
      </c>
    </row>
    <row r="148" spans="1:16" s="6" customFormat="1" ht="24.75" customHeight="1">
      <c r="A148" s="131"/>
      <c r="B148" s="131"/>
      <c r="C148" s="92"/>
      <c r="D148" s="41" t="s">
        <v>6</v>
      </c>
      <c r="E148" s="71">
        <f>F148+I148</f>
        <v>149354.00826999993</v>
      </c>
      <c r="F148" s="71">
        <f>F93+F101+F109+F120+F121+F122+F125+F127+F131+F134+F137+F119+F141+F143+F142+F147</f>
        <v>149104.00826999993</v>
      </c>
      <c r="G148" s="71">
        <f>G93+G101+G109+G120+G121+G122+G125+G127+G131+G134+G137+G119+G141+G143+G142+G147</f>
        <v>4759.856</v>
      </c>
      <c r="H148" s="71">
        <f>H93+H101+H109+H120+H121+H122+H125+H127+H131+H134+H137+H119+H141+H143+H142+H147</f>
        <v>244.95000000000002</v>
      </c>
      <c r="I148" s="71">
        <f>I93+I101+I109+I120+I121+I122+I125+I127+I131+I134+I137+I119+I141+I143+I142+I147</f>
        <v>250</v>
      </c>
      <c r="J148" s="71">
        <f aca="true" t="shared" si="18" ref="J148:O148">J93+J101+J109+J120+J121+J122+J125+J127+J131+J134+J137+J119+J141+J143+J142+J147+J145</f>
        <v>264.001</v>
      </c>
      <c r="K148" s="71">
        <f t="shared" si="18"/>
        <v>238.001</v>
      </c>
      <c r="L148" s="71">
        <f t="shared" si="18"/>
        <v>25.2</v>
      </c>
      <c r="M148" s="71">
        <f t="shared" si="18"/>
        <v>0</v>
      </c>
      <c r="N148" s="71">
        <f t="shared" si="18"/>
        <v>26</v>
      </c>
      <c r="O148" s="71">
        <f t="shared" si="18"/>
        <v>26</v>
      </c>
      <c r="P148" s="71">
        <f>E148+J148</f>
        <v>149618.00926999992</v>
      </c>
    </row>
    <row r="149" spans="1:16" s="6" customFormat="1" ht="27.75">
      <c r="A149" s="131"/>
      <c r="B149" s="131"/>
      <c r="C149" s="92"/>
      <c r="D149" s="93"/>
      <c r="E149" s="83"/>
      <c r="F149" s="83"/>
      <c r="G149" s="83"/>
      <c r="H149" s="83"/>
      <c r="I149" s="83"/>
      <c r="J149" s="83"/>
      <c r="K149" s="83"/>
      <c r="L149" s="83"/>
      <c r="M149" s="83"/>
      <c r="N149" s="83"/>
      <c r="O149" s="83"/>
      <c r="P149" s="83"/>
    </row>
    <row r="150" spans="1:16" ht="36.75" customHeight="1">
      <c r="A150" s="122" t="s">
        <v>91</v>
      </c>
      <c r="B150" s="122"/>
      <c r="C150" s="72"/>
      <c r="D150" s="94" t="s">
        <v>334</v>
      </c>
      <c r="E150" s="47"/>
      <c r="F150" s="47"/>
      <c r="G150" s="47"/>
      <c r="H150" s="47"/>
      <c r="I150" s="47"/>
      <c r="J150" s="47"/>
      <c r="K150" s="47"/>
      <c r="L150" s="47"/>
      <c r="M150" s="47"/>
      <c r="N150" s="47"/>
      <c r="O150" s="47"/>
      <c r="P150" s="47"/>
    </row>
    <row r="151" spans="1:16" ht="37.5" customHeight="1">
      <c r="A151" s="122" t="s">
        <v>92</v>
      </c>
      <c r="B151" s="122"/>
      <c r="C151" s="72"/>
      <c r="D151" s="94" t="s">
        <v>334</v>
      </c>
      <c r="E151" s="47"/>
      <c r="F151" s="47"/>
      <c r="G151" s="47"/>
      <c r="H151" s="47"/>
      <c r="I151" s="47"/>
      <c r="J151" s="47"/>
      <c r="K151" s="47"/>
      <c r="L151" s="47"/>
      <c r="M151" s="47"/>
      <c r="N151" s="47"/>
      <c r="O151" s="47"/>
      <c r="P151" s="47"/>
    </row>
    <row r="152" spans="1:16" ht="31.5" customHeight="1">
      <c r="A152" s="122" t="s">
        <v>93</v>
      </c>
      <c r="B152" s="122" t="s">
        <v>297</v>
      </c>
      <c r="C152" s="86"/>
      <c r="D152" s="41" t="s">
        <v>8</v>
      </c>
      <c r="E152" s="71">
        <f>I152+F152</f>
        <v>5431.67587</v>
      </c>
      <c r="F152" s="71">
        <f>F153+F154+F157+F155+F156</f>
        <v>5431.67587</v>
      </c>
      <c r="G152" s="71">
        <f>G153+G154+G155+G156+G157</f>
        <v>3844.42883</v>
      </c>
      <c r="H152" s="71">
        <f>H153+H154+H155+H156+H157</f>
        <v>476.21259</v>
      </c>
      <c r="I152" s="71">
        <f>I153+I154</f>
        <v>0</v>
      </c>
      <c r="J152" s="71">
        <f>K152+N152</f>
        <v>125</v>
      </c>
      <c r="K152" s="71">
        <f>K153+K154+K157+K155+K156</f>
        <v>91</v>
      </c>
      <c r="L152" s="71">
        <f>L153+L154+L157+L155+L156</f>
        <v>50.98</v>
      </c>
      <c r="M152" s="71">
        <f>M153+M154+M157+M155+M156</f>
        <v>2.4</v>
      </c>
      <c r="N152" s="71">
        <f>N153+N154+N157+N155+N156</f>
        <v>34</v>
      </c>
      <c r="O152" s="71">
        <f>O153+O154+O157+O155+O156</f>
        <v>34</v>
      </c>
      <c r="P152" s="71">
        <f>J152+E152</f>
        <v>5556.67587</v>
      </c>
    </row>
    <row r="153" spans="1:16" ht="27.75" customHeight="1">
      <c r="A153" s="122" t="s">
        <v>84</v>
      </c>
      <c r="B153" s="122" t="s">
        <v>239</v>
      </c>
      <c r="C153" s="95" t="s">
        <v>187</v>
      </c>
      <c r="D153" s="96" t="s">
        <v>9</v>
      </c>
      <c r="E153" s="78">
        <f aca="true" t="shared" si="19" ref="E153:E161">I153+F153</f>
        <v>2433.8030000000003</v>
      </c>
      <c r="F153" s="87">
        <f>752.4+1655.54+10+2+7.063+3+3.8</f>
        <v>2433.8030000000003</v>
      </c>
      <c r="G153" s="78">
        <f>575.3+1241.5-12.77</f>
        <v>1804.03</v>
      </c>
      <c r="H153" s="78">
        <f>50.5+121.15+5+3.8</f>
        <v>180.45000000000002</v>
      </c>
      <c r="I153" s="47"/>
      <c r="J153" s="49">
        <f>K153+N153</f>
        <v>34</v>
      </c>
      <c r="K153" s="47"/>
      <c r="L153" s="47"/>
      <c r="M153" s="42"/>
      <c r="N153" s="47">
        <f>O153</f>
        <v>34</v>
      </c>
      <c r="O153" s="47">
        <f>25+9</f>
        <v>34</v>
      </c>
      <c r="P153" s="78">
        <f aca="true" t="shared" si="20" ref="P153:P161">J153+E153</f>
        <v>2467.8030000000003</v>
      </c>
    </row>
    <row r="154" spans="1:16" ht="33" customHeight="1">
      <c r="A154" s="122" t="s">
        <v>85</v>
      </c>
      <c r="B154" s="122" t="s">
        <v>240</v>
      </c>
      <c r="C154" s="97" t="s">
        <v>187</v>
      </c>
      <c r="D154" s="96" t="s">
        <v>10</v>
      </c>
      <c r="E154" s="78">
        <f t="shared" si="19"/>
        <v>420.91267</v>
      </c>
      <c r="F154" s="87">
        <f>50.4+593+4.7-205.869-21.31833</f>
        <v>420.91267</v>
      </c>
      <c r="G154" s="78">
        <f>41.3+426-141.34827-15.18181</f>
        <v>310.76992</v>
      </c>
      <c r="H154" s="87">
        <f>69.6-37.46725</f>
        <v>32.132749999999994</v>
      </c>
      <c r="I154" s="47"/>
      <c r="J154" s="49"/>
      <c r="K154" s="47"/>
      <c r="L154" s="47"/>
      <c r="M154" s="47"/>
      <c r="N154" s="47"/>
      <c r="O154" s="47"/>
      <c r="P154" s="78">
        <f t="shared" si="20"/>
        <v>420.91267</v>
      </c>
    </row>
    <row r="155" spans="1:16" ht="64.5" customHeight="1">
      <c r="A155" s="122" t="s">
        <v>247</v>
      </c>
      <c r="B155" s="122" t="s">
        <v>248</v>
      </c>
      <c r="C155" s="45" t="s">
        <v>249</v>
      </c>
      <c r="D155" s="96" t="s">
        <v>250</v>
      </c>
      <c r="E155" s="78">
        <f>F155</f>
        <v>1464.8462</v>
      </c>
      <c r="F155" s="87">
        <f>1223.86+17+140+14.2+200+258.9-389.1138</f>
        <v>1464.8462</v>
      </c>
      <c r="G155" s="78">
        <f>881.7+149.8+147-293.24063</f>
        <v>885.25937</v>
      </c>
      <c r="H155" s="87">
        <f>133.5+14+75.8-27.38271</f>
        <v>195.91729</v>
      </c>
      <c r="I155" s="47"/>
      <c r="J155" s="49">
        <f>K155</f>
        <v>9.2</v>
      </c>
      <c r="K155" s="47">
        <v>9.2</v>
      </c>
      <c r="L155" s="47"/>
      <c r="M155" s="47"/>
      <c r="N155" s="47">
        <v>0</v>
      </c>
      <c r="O155" s="47"/>
      <c r="P155" s="78">
        <f t="shared" si="20"/>
        <v>1474.0462</v>
      </c>
    </row>
    <row r="156" spans="1:16" ht="45" customHeight="1">
      <c r="A156" s="122" t="s">
        <v>251</v>
      </c>
      <c r="B156" s="122" t="s">
        <v>252</v>
      </c>
      <c r="C156" s="45" t="s">
        <v>177</v>
      </c>
      <c r="D156" s="96" t="s">
        <v>253</v>
      </c>
      <c r="E156" s="78">
        <f>F156</f>
        <v>788.5139999999999</v>
      </c>
      <c r="F156" s="87">
        <f>1181.6-393.086</f>
        <v>788.5139999999999</v>
      </c>
      <c r="G156" s="78">
        <f>922.8-304.13046</f>
        <v>618.6695399999999</v>
      </c>
      <c r="H156" s="87">
        <f>50.76-19.18245</f>
        <v>31.57755</v>
      </c>
      <c r="I156" s="47"/>
      <c r="J156" s="49">
        <f>K156</f>
        <v>72.2</v>
      </c>
      <c r="K156" s="47">
        <v>72.2</v>
      </c>
      <c r="L156" s="47">
        <v>50.98</v>
      </c>
      <c r="M156" s="47"/>
      <c r="N156" s="47"/>
      <c r="O156" s="47"/>
      <c r="P156" s="78">
        <f t="shared" si="20"/>
        <v>860.7139999999999</v>
      </c>
    </row>
    <row r="157" spans="1:17" ht="49.5" customHeight="1">
      <c r="A157" s="122" t="s">
        <v>139</v>
      </c>
      <c r="B157" s="122" t="s">
        <v>241</v>
      </c>
      <c r="C157" s="45" t="s">
        <v>188</v>
      </c>
      <c r="D157" s="56" t="s">
        <v>103</v>
      </c>
      <c r="E157" s="47">
        <f>E158</f>
        <v>323.6</v>
      </c>
      <c r="F157" s="47">
        <f aca="true" t="shared" si="21" ref="F157:O157">F158</f>
        <v>323.6</v>
      </c>
      <c r="G157" s="47">
        <f t="shared" si="21"/>
        <v>225.7</v>
      </c>
      <c r="H157" s="47">
        <f t="shared" si="21"/>
        <v>36.135</v>
      </c>
      <c r="I157" s="47">
        <f t="shared" si="21"/>
        <v>0</v>
      </c>
      <c r="J157" s="49">
        <f>K157+N157</f>
        <v>9.6</v>
      </c>
      <c r="K157" s="47">
        <f t="shared" si="21"/>
        <v>9.6</v>
      </c>
      <c r="L157" s="47">
        <f t="shared" si="21"/>
        <v>0</v>
      </c>
      <c r="M157" s="47">
        <f t="shared" si="21"/>
        <v>2.4</v>
      </c>
      <c r="N157" s="47">
        <f t="shared" si="21"/>
        <v>0</v>
      </c>
      <c r="O157" s="47">
        <f t="shared" si="21"/>
        <v>0</v>
      </c>
      <c r="P157" s="78">
        <f t="shared" si="20"/>
        <v>333.20000000000005</v>
      </c>
      <c r="Q157" s="14"/>
    </row>
    <row r="158" spans="1:16" ht="46.5" customHeight="1">
      <c r="A158" s="122" t="s">
        <v>140</v>
      </c>
      <c r="B158" s="122" t="s">
        <v>242</v>
      </c>
      <c r="C158" s="45" t="s">
        <v>188</v>
      </c>
      <c r="D158" s="56" t="s">
        <v>87</v>
      </c>
      <c r="E158" s="47">
        <f>F158</f>
        <v>323.6</v>
      </c>
      <c r="F158" s="88">
        <f>176.5+147.1</f>
        <v>323.6</v>
      </c>
      <c r="G158" s="47">
        <f>120.91+104.79</f>
        <v>225.7</v>
      </c>
      <c r="H158" s="88">
        <f>19.36+16.775</f>
        <v>36.135</v>
      </c>
      <c r="I158" s="47"/>
      <c r="J158" s="49">
        <f>K158+N158</f>
        <v>9.6</v>
      </c>
      <c r="K158" s="47">
        <v>9.6</v>
      </c>
      <c r="L158" s="47"/>
      <c r="M158" s="47">
        <v>2.4</v>
      </c>
      <c r="N158" s="47"/>
      <c r="O158" s="47"/>
      <c r="P158" s="78">
        <f t="shared" si="20"/>
        <v>333.20000000000005</v>
      </c>
    </row>
    <row r="159" spans="1:16" ht="33" customHeight="1">
      <c r="A159" s="122" t="s">
        <v>324</v>
      </c>
      <c r="B159" s="122" t="s">
        <v>325</v>
      </c>
      <c r="C159" s="45" t="s">
        <v>326</v>
      </c>
      <c r="D159" s="56" t="s">
        <v>338</v>
      </c>
      <c r="E159" s="49">
        <f>F159</f>
        <v>10</v>
      </c>
      <c r="F159" s="47">
        <v>10</v>
      </c>
      <c r="G159" s="47"/>
      <c r="H159" s="88"/>
      <c r="I159" s="47"/>
      <c r="J159" s="49"/>
      <c r="K159" s="47"/>
      <c r="L159" s="47"/>
      <c r="M159" s="47"/>
      <c r="N159" s="47"/>
      <c r="O159" s="47"/>
      <c r="P159" s="78">
        <f t="shared" si="20"/>
        <v>10</v>
      </c>
    </row>
    <row r="160" spans="1:16" ht="46.5" customHeight="1">
      <c r="A160" s="122" t="s">
        <v>147</v>
      </c>
      <c r="B160" s="122" t="s">
        <v>203</v>
      </c>
      <c r="C160" s="81" t="s">
        <v>179</v>
      </c>
      <c r="D160" s="46" t="s">
        <v>148</v>
      </c>
      <c r="E160" s="47">
        <f t="shared" si="19"/>
        <v>1075.2</v>
      </c>
      <c r="F160" s="88">
        <f>F161</f>
        <v>1075.2</v>
      </c>
      <c r="G160" s="83"/>
      <c r="H160" s="83"/>
      <c r="I160" s="83"/>
      <c r="J160" s="49"/>
      <c r="K160" s="83"/>
      <c r="L160" s="83"/>
      <c r="M160" s="83"/>
      <c r="N160" s="83"/>
      <c r="O160" s="83"/>
      <c r="P160" s="78">
        <f t="shared" si="20"/>
        <v>1075.2</v>
      </c>
    </row>
    <row r="161" spans="1:16" ht="96" customHeight="1">
      <c r="A161" s="122" t="s">
        <v>149</v>
      </c>
      <c r="B161" s="122" t="s">
        <v>204</v>
      </c>
      <c r="C161" s="81" t="s">
        <v>179</v>
      </c>
      <c r="D161" s="98" t="s">
        <v>150</v>
      </c>
      <c r="E161" s="47">
        <f t="shared" si="19"/>
        <v>1075.2</v>
      </c>
      <c r="F161" s="88">
        <v>1075.2</v>
      </c>
      <c r="G161" s="83"/>
      <c r="H161" s="83"/>
      <c r="I161" s="83"/>
      <c r="J161" s="49"/>
      <c r="K161" s="83"/>
      <c r="L161" s="83"/>
      <c r="M161" s="83"/>
      <c r="N161" s="83"/>
      <c r="O161" s="83"/>
      <c r="P161" s="78">
        <f t="shared" si="20"/>
        <v>1075.2</v>
      </c>
    </row>
    <row r="162" spans="1:16" ht="27.75">
      <c r="A162" s="131"/>
      <c r="B162" s="131"/>
      <c r="C162" s="92"/>
      <c r="D162" s="59" t="s">
        <v>6</v>
      </c>
      <c r="E162" s="71">
        <f>I162+F162</f>
        <v>6516.87587</v>
      </c>
      <c r="F162" s="71">
        <f>F152+F160+F159</f>
        <v>6516.87587</v>
      </c>
      <c r="G162" s="71">
        <f aca="true" t="shared" si="22" ref="G162:O162">G152+G160+G159</f>
        <v>3844.42883</v>
      </c>
      <c r="H162" s="71">
        <f>H152+H160+H159</f>
        <v>476.21259</v>
      </c>
      <c r="I162" s="49">
        <f t="shared" si="22"/>
        <v>0</v>
      </c>
      <c r="J162" s="49">
        <f t="shared" si="22"/>
        <v>125</v>
      </c>
      <c r="K162" s="49">
        <f t="shared" si="22"/>
        <v>91</v>
      </c>
      <c r="L162" s="49">
        <f t="shared" si="22"/>
        <v>50.98</v>
      </c>
      <c r="M162" s="49">
        <f t="shared" si="22"/>
        <v>2.4</v>
      </c>
      <c r="N162" s="49">
        <f t="shared" si="22"/>
        <v>34</v>
      </c>
      <c r="O162" s="49">
        <f t="shared" si="22"/>
        <v>34</v>
      </c>
      <c r="P162" s="71">
        <f>J162+E162</f>
        <v>6641.87587</v>
      </c>
    </row>
    <row r="163" spans="1:16" ht="48.75" customHeight="1">
      <c r="A163" s="122" t="s">
        <v>94</v>
      </c>
      <c r="B163" s="122"/>
      <c r="C163" s="72"/>
      <c r="D163" s="59" t="s">
        <v>0</v>
      </c>
      <c r="E163" s="47"/>
      <c r="F163" s="47"/>
      <c r="G163" s="47"/>
      <c r="H163" s="47"/>
      <c r="I163" s="47"/>
      <c r="J163" s="47"/>
      <c r="K163" s="47"/>
      <c r="L163" s="47"/>
      <c r="M163" s="47"/>
      <c r="N163" s="47"/>
      <c r="O163" s="47"/>
      <c r="P163" s="47"/>
    </row>
    <row r="164" spans="1:16" ht="38.25" customHeight="1">
      <c r="A164" s="122" t="s">
        <v>95</v>
      </c>
      <c r="B164" s="122"/>
      <c r="C164" s="72"/>
      <c r="D164" s="59" t="s">
        <v>0</v>
      </c>
      <c r="E164" s="47"/>
      <c r="F164" s="47"/>
      <c r="G164" s="47"/>
      <c r="H164" s="47"/>
      <c r="I164" s="47"/>
      <c r="J164" s="47"/>
      <c r="K164" s="47"/>
      <c r="L164" s="47"/>
      <c r="M164" s="47"/>
      <c r="N164" s="47"/>
      <c r="O164" s="47"/>
      <c r="P164" s="47"/>
    </row>
    <row r="165" spans="1:16" ht="39" customHeight="1">
      <c r="A165" s="122" t="s">
        <v>86</v>
      </c>
      <c r="B165" s="122" t="s">
        <v>243</v>
      </c>
      <c r="C165" s="45" t="s">
        <v>175</v>
      </c>
      <c r="D165" s="56" t="s">
        <v>17</v>
      </c>
      <c r="E165" s="47">
        <v>15</v>
      </c>
      <c r="F165" s="47"/>
      <c r="G165" s="47"/>
      <c r="H165" s="47"/>
      <c r="I165" s="47"/>
      <c r="J165" s="47"/>
      <c r="K165" s="47"/>
      <c r="L165" s="47"/>
      <c r="M165" s="47"/>
      <c r="N165" s="47"/>
      <c r="O165" s="47"/>
      <c r="P165" s="47">
        <f>J165+E165</f>
        <v>15</v>
      </c>
    </row>
    <row r="166" spans="1:16" ht="49.5" customHeight="1">
      <c r="A166" s="122" t="s">
        <v>371</v>
      </c>
      <c r="B166" s="122" t="s">
        <v>203</v>
      </c>
      <c r="C166" s="72" t="s">
        <v>179</v>
      </c>
      <c r="D166" s="96" t="s">
        <v>148</v>
      </c>
      <c r="E166" s="47">
        <f>F166+I166</f>
        <v>849.98</v>
      </c>
      <c r="F166" s="47">
        <f>F168</f>
        <v>800</v>
      </c>
      <c r="G166" s="47"/>
      <c r="H166" s="47"/>
      <c r="I166" s="47">
        <v>49.98</v>
      </c>
      <c r="J166" s="47"/>
      <c r="K166" s="47"/>
      <c r="L166" s="47"/>
      <c r="M166" s="47"/>
      <c r="N166" s="47"/>
      <c r="O166" s="47"/>
      <c r="P166" s="47">
        <f t="shared" si="14"/>
        <v>849.98</v>
      </c>
    </row>
    <row r="167" spans="1:16" ht="318" customHeight="1">
      <c r="A167" s="122" t="s">
        <v>372</v>
      </c>
      <c r="B167" s="122" t="s">
        <v>204</v>
      </c>
      <c r="C167" s="45" t="s">
        <v>179</v>
      </c>
      <c r="D167" s="56" t="s">
        <v>390</v>
      </c>
      <c r="E167" s="47">
        <f>F167+I167</f>
        <v>49.98</v>
      </c>
      <c r="F167" s="47"/>
      <c r="G167" s="47"/>
      <c r="H167" s="47"/>
      <c r="I167" s="47">
        <v>49.98</v>
      </c>
      <c r="J167" s="47"/>
      <c r="K167" s="47"/>
      <c r="L167" s="47"/>
      <c r="M167" s="47"/>
      <c r="N167" s="47"/>
      <c r="O167" s="47"/>
      <c r="P167" s="47">
        <f t="shared" si="14"/>
        <v>49.98</v>
      </c>
    </row>
    <row r="168" spans="1:16" ht="145.5" customHeight="1">
      <c r="A168" s="122" t="s">
        <v>395</v>
      </c>
      <c r="B168" s="122" t="s">
        <v>388</v>
      </c>
      <c r="C168" s="45" t="s">
        <v>179</v>
      </c>
      <c r="D168" s="56" t="s">
        <v>398</v>
      </c>
      <c r="E168" s="47">
        <f>F168</f>
        <v>800</v>
      </c>
      <c r="F168" s="47">
        <f>300+500</f>
        <v>800</v>
      </c>
      <c r="G168" s="47"/>
      <c r="H168" s="47"/>
      <c r="I168" s="47"/>
      <c r="J168" s="47"/>
      <c r="K168" s="47"/>
      <c r="L168" s="47"/>
      <c r="M168" s="47"/>
      <c r="N168" s="47"/>
      <c r="O168" s="47"/>
      <c r="P168" s="47">
        <f t="shared" si="14"/>
        <v>800</v>
      </c>
    </row>
    <row r="169" spans="1:16" ht="102" customHeight="1">
      <c r="A169" s="122" t="s">
        <v>392</v>
      </c>
      <c r="B169" s="122" t="s">
        <v>393</v>
      </c>
      <c r="C169" s="45" t="s">
        <v>179</v>
      </c>
      <c r="D169" s="56" t="s">
        <v>394</v>
      </c>
      <c r="E169" s="47">
        <f>F169+I169</f>
        <v>324</v>
      </c>
      <c r="F169" s="47">
        <f aca="true" t="shared" si="23" ref="F169:O169">F170+F171</f>
        <v>0</v>
      </c>
      <c r="G169" s="47">
        <f t="shared" si="23"/>
        <v>0</v>
      </c>
      <c r="H169" s="47">
        <f t="shared" si="23"/>
        <v>0</v>
      </c>
      <c r="I169" s="47">
        <f t="shared" si="23"/>
        <v>324</v>
      </c>
      <c r="J169" s="47">
        <f t="shared" si="23"/>
        <v>227.5</v>
      </c>
      <c r="K169" s="47">
        <f t="shared" si="23"/>
        <v>0</v>
      </c>
      <c r="L169" s="47">
        <f t="shared" si="23"/>
        <v>0</v>
      </c>
      <c r="M169" s="47">
        <f t="shared" si="23"/>
        <v>0</v>
      </c>
      <c r="N169" s="47">
        <f t="shared" si="23"/>
        <v>227.5</v>
      </c>
      <c r="O169" s="47">
        <f t="shared" si="23"/>
        <v>227.5</v>
      </c>
      <c r="P169" s="47">
        <f t="shared" si="14"/>
        <v>551.5</v>
      </c>
    </row>
    <row r="170" spans="1:16" ht="307.5" customHeight="1">
      <c r="A170" s="43"/>
      <c r="B170" s="43"/>
      <c r="C170" s="43"/>
      <c r="D170" s="99" t="s">
        <v>399</v>
      </c>
      <c r="E170" s="47"/>
      <c r="F170" s="47"/>
      <c r="G170" s="47"/>
      <c r="H170" s="47"/>
      <c r="I170" s="43"/>
      <c r="J170" s="47">
        <f>N170</f>
        <v>227.5</v>
      </c>
      <c r="K170" s="47"/>
      <c r="L170" s="47"/>
      <c r="M170" s="47"/>
      <c r="N170" s="47">
        <v>227.5</v>
      </c>
      <c r="O170" s="47">
        <v>227.5</v>
      </c>
      <c r="P170" s="47">
        <f t="shared" si="14"/>
        <v>227.5</v>
      </c>
    </row>
    <row r="171" spans="1:16" ht="303" customHeight="1">
      <c r="A171" s="43"/>
      <c r="B171" s="43"/>
      <c r="C171" s="43"/>
      <c r="D171" s="99" t="s">
        <v>405</v>
      </c>
      <c r="E171" s="47">
        <f>F171+I171</f>
        <v>324</v>
      </c>
      <c r="F171" s="47"/>
      <c r="G171" s="47"/>
      <c r="H171" s="47"/>
      <c r="I171" s="63">
        <v>324</v>
      </c>
      <c r="J171" s="47"/>
      <c r="K171" s="47"/>
      <c r="L171" s="47"/>
      <c r="M171" s="47"/>
      <c r="N171" s="47"/>
      <c r="O171" s="47"/>
      <c r="P171" s="47">
        <f t="shared" si="14"/>
        <v>324</v>
      </c>
    </row>
    <row r="172" spans="1:16" ht="31.5" customHeight="1">
      <c r="A172" s="48"/>
      <c r="B172" s="48"/>
      <c r="C172" s="72"/>
      <c r="D172" s="100" t="s">
        <v>1</v>
      </c>
      <c r="E172" s="101">
        <f>F172+I172</f>
        <v>1173.98</v>
      </c>
      <c r="F172" s="101">
        <f>F165+F166+F170</f>
        <v>800</v>
      </c>
      <c r="G172" s="101">
        <f aca="true" t="shared" si="24" ref="G172:O172">G165+G166+G168+G170</f>
        <v>0</v>
      </c>
      <c r="H172" s="101">
        <f t="shared" si="24"/>
        <v>0</v>
      </c>
      <c r="I172" s="101">
        <f>I165+I166+I168+I170+I171</f>
        <v>373.98</v>
      </c>
      <c r="J172" s="101">
        <f t="shared" si="24"/>
        <v>227.5</v>
      </c>
      <c r="K172" s="101">
        <f t="shared" si="24"/>
        <v>0</v>
      </c>
      <c r="L172" s="101">
        <f t="shared" si="24"/>
        <v>0</v>
      </c>
      <c r="M172" s="101">
        <f t="shared" si="24"/>
        <v>0</v>
      </c>
      <c r="N172" s="101">
        <f t="shared" si="24"/>
        <v>227.5</v>
      </c>
      <c r="O172" s="101">
        <f t="shared" si="24"/>
        <v>227.5</v>
      </c>
      <c r="P172" s="101">
        <f>E172+J172</f>
        <v>1401.48</v>
      </c>
    </row>
    <row r="173" spans="1:16" ht="61.5" customHeight="1" hidden="1">
      <c r="A173" s="133"/>
      <c r="B173" s="133"/>
      <c r="C173" s="92"/>
      <c r="D173" s="102"/>
      <c r="E173" s="83"/>
      <c r="F173" s="83"/>
      <c r="G173" s="83"/>
      <c r="H173" s="83"/>
      <c r="I173" s="83"/>
      <c r="J173" s="83"/>
      <c r="K173" s="83"/>
      <c r="L173" s="83"/>
      <c r="M173" s="83"/>
      <c r="N173" s="83"/>
      <c r="O173" s="83"/>
      <c r="P173" s="83">
        <f aca="true" t="shared" si="25" ref="P173:P179">J173+E173</f>
        <v>0</v>
      </c>
    </row>
    <row r="174" spans="1:16" ht="43.5" customHeight="1">
      <c r="A174" s="133"/>
      <c r="B174" s="133"/>
      <c r="C174" s="92"/>
      <c r="D174" s="41" t="s">
        <v>16</v>
      </c>
      <c r="E174" s="71">
        <f>F174+I174+E165</f>
        <v>267509.70277999993</v>
      </c>
      <c r="F174" s="71">
        <f>F172+F162+F148+F59+F18+F89</f>
        <v>266540.82277999993</v>
      </c>
      <c r="G174" s="71">
        <f>G172+G162+G148+G59+G18+G89</f>
        <v>53900.47667999999</v>
      </c>
      <c r="H174" s="71">
        <f>H172+H162+H148+H59+H18+H89</f>
        <v>7807.1661</v>
      </c>
      <c r="I174" s="71">
        <f>I172+I162+I148+I59+I18+I89</f>
        <v>953.88</v>
      </c>
      <c r="J174" s="71">
        <f>N174+K174</f>
        <v>9179.097</v>
      </c>
      <c r="K174" s="49">
        <f>K172+K162+K148+K59+K18+K89</f>
        <v>720.405</v>
      </c>
      <c r="L174" s="49">
        <f>L172+L162+L148+L59+L18+L89</f>
        <v>76.17999999999999</v>
      </c>
      <c r="M174" s="49">
        <f>M172+M162+M148+M59+M18+M89</f>
        <v>2.4</v>
      </c>
      <c r="N174" s="49">
        <f>N172+N162+N148+N59+N18+N89</f>
        <v>8458.692</v>
      </c>
      <c r="O174" s="49">
        <f>O172+O162+O148+O59+O18+O89</f>
        <v>8458.692</v>
      </c>
      <c r="P174" s="71">
        <f t="shared" si="25"/>
        <v>276688.79977999994</v>
      </c>
    </row>
    <row r="175" spans="1:17" ht="98.25" customHeight="1">
      <c r="A175" s="133"/>
      <c r="B175" s="133"/>
      <c r="C175" s="92"/>
      <c r="D175" s="59" t="s">
        <v>246</v>
      </c>
      <c r="E175" s="78">
        <f>F175+I175</f>
        <v>208484.82043999998</v>
      </c>
      <c r="F175" s="78">
        <f>F24+F93+F101+F109+F119+F138+F39+F64+F67+F170</f>
        <v>208160.82043999998</v>
      </c>
      <c r="G175" s="78">
        <f aca="true" t="shared" si="26" ref="G175:M175">G24+G93+G101+G109+G119+G138+G39+G64+G67+G170</f>
        <v>30517.99463000001</v>
      </c>
      <c r="H175" s="47">
        <f t="shared" si="26"/>
        <v>0</v>
      </c>
      <c r="I175" s="47">
        <f>I24+I93+I101+I109+I119+I138+I39+I64+I67+I170+I171</f>
        <v>324</v>
      </c>
      <c r="J175" s="47">
        <f>N175+K175</f>
        <v>4173.914</v>
      </c>
      <c r="K175" s="47">
        <f t="shared" si="26"/>
        <v>0</v>
      </c>
      <c r="L175" s="47">
        <f t="shared" si="26"/>
        <v>0</v>
      </c>
      <c r="M175" s="47">
        <f t="shared" si="26"/>
        <v>0</v>
      </c>
      <c r="N175" s="47">
        <f>O175</f>
        <v>4173.914</v>
      </c>
      <c r="O175" s="47">
        <f>O24+O93+O101+O39+O170+O67+O31+O66</f>
        <v>4173.914</v>
      </c>
      <c r="P175" s="71">
        <f>J175+E175</f>
        <v>212658.73443999997</v>
      </c>
      <c r="Q175" s="7"/>
    </row>
    <row r="176" spans="1:17" ht="101.25" customHeight="1">
      <c r="A176" s="133"/>
      <c r="B176" s="133"/>
      <c r="C176" s="72"/>
      <c r="D176" s="103" t="s">
        <v>391</v>
      </c>
      <c r="E176" s="119">
        <f>F176</f>
        <v>810.1510000000001</v>
      </c>
      <c r="F176" s="111">
        <f>F177+F178+F30</f>
        <v>810.1510000000001</v>
      </c>
      <c r="G176" s="47"/>
      <c r="H176" s="104">
        <f>322.122-322.122</f>
        <v>0</v>
      </c>
      <c r="I176" s="47"/>
      <c r="J176" s="121">
        <f aca="true" t="shared" si="27" ref="J176:O176">J177+J178</f>
        <v>210.67399999999998</v>
      </c>
      <c r="K176" s="104">
        <f t="shared" si="27"/>
        <v>0</v>
      </c>
      <c r="L176" s="104">
        <f t="shared" si="27"/>
        <v>0</v>
      </c>
      <c r="M176" s="104">
        <f t="shared" si="27"/>
        <v>0</v>
      </c>
      <c r="N176" s="104">
        <f t="shared" si="27"/>
        <v>210.67399999999998</v>
      </c>
      <c r="O176" s="104">
        <f t="shared" si="27"/>
        <v>210.67399999999998</v>
      </c>
      <c r="P176" s="113">
        <f t="shared" si="25"/>
        <v>1020.825</v>
      </c>
      <c r="Q176" s="7"/>
    </row>
    <row r="177" spans="1:17" ht="38.25" customHeight="1">
      <c r="A177" s="133"/>
      <c r="B177" s="133"/>
      <c r="C177" s="72"/>
      <c r="D177" s="103" t="s">
        <v>327</v>
      </c>
      <c r="E177" s="119">
        <f>F177</f>
        <v>178.745</v>
      </c>
      <c r="F177" s="111">
        <f>F25</f>
        <v>178.745</v>
      </c>
      <c r="G177" s="47"/>
      <c r="H177" s="104"/>
      <c r="I177" s="47"/>
      <c r="J177" s="78"/>
      <c r="K177" s="47"/>
      <c r="L177" s="47"/>
      <c r="M177" s="47"/>
      <c r="N177" s="47"/>
      <c r="O177" s="47"/>
      <c r="P177" s="113">
        <f t="shared" si="25"/>
        <v>178.745</v>
      </c>
      <c r="Q177" s="7"/>
    </row>
    <row r="178" spans="1:17" ht="33.75" customHeight="1">
      <c r="A178" s="133"/>
      <c r="B178" s="133"/>
      <c r="C178" s="72"/>
      <c r="D178" s="103" t="s">
        <v>328</v>
      </c>
      <c r="E178" s="119">
        <f>F178</f>
        <v>111.40600000000002</v>
      </c>
      <c r="F178" s="111">
        <f>F66</f>
        <v>111.40600000000002</v>
      </c>
      <c r="G178" s="42">
        <f aca="true" t="shared" si="28" ref="G178:N178">G66</f>
        <v>0</v>
      </c>
      <c r="H178" s="42">
        <f t="shared" si="28"/>
        <v>0</v>
      </c>
      <c r="I178" s="42">
        <f t="shared" si="28"/>
        <v>0</v>
      </c>
      <c r="J178" s="111">
        <f t="shared" si="28"/>
        <v>210.67399999999998</v>
      </c>
      <c r="K178" s="42">
        <f t="shared" si="28"/>
        <v>0</v>
      </c>
      <c r="L178" s="42">
        <f t="shared" si="28"/>
        <v>0</v>
      </c>
      <c r="M178" s="42">
        <f t="shared" si="28"/>
        <v>0</v>
      </c>
      <c r="N178" s="42">
        <f t="shared" si="28"/>
        <v>210.67399999999998</v>
      </c>
      <c r="O178" s="42">
        <f>O66</f>
        <v>210.67399999999998</v>
      </c>
      <c r="P178" s="113">
        <f t="shared" si="25"/>
        <v>322.08</v>
      </c>
      <c r="Q178" s="7"/>
    </row>
    <row r="179" spans="1:17" ht="107.25" customHeight="1">
      <c r="A179" s="133"/>
      <c r="B179" s="133"/>
      <c r="C179" s="92"/>
      <c r="D179" s="96" t="s">
        <v>375</v>
      </c>
      <c r="E179" s="120">
        <f>F179</f>
        <v>520</v>
      </c>
      <c r="F179" s="78">
        <f>F30</f>
        <v>520</v>
      </c>
      <c r="G179" s="47">
        <f aca="true" t="shared" si="29" ref="G179:O179">G30</f>
        <v>0</v>
      </c>
      <c r="H179" s="47">
        <f t="shared" si="29"/>
        <v>0</v>
      </c>
      <c r="I179" s="47">
        <f t="shared" si="29"/>
        <v>0</v>
      </c>
      <c r="J179" s="47">
        <f t="shared" si="29"/>
        <v>0</v>
      </c>
      <c r="K179" s="47">
        <f t="shared" si="29"/>
        <v>0</v>
      </c>
      <c r="L179" s="47">
        <f t="shared" si="29"/>
        <v>0</v>
      </c>
      <c r="M179" s="47">
        <f t="shared" si="29"/>
        <v>0</v>
      </c>
      <c r="N179" s="47">
        <f>N30</f>
        <v>0</v>
      </c>
      <c r="O179" s="47">
        <f t="shared" si="29"/>
        <v>0</v>
      </c>
      <c r="P179" s="114">
        <f t="shared" si="25"/>
        <v>520</v>
      </c>
      <c r="Q179" s="7"/>
    </row>
    <row r="180" spans="1:17" ht="59.25" customHeight="1">
      <c r="A180" s="133"/>
      <c r="B180" s="133"/>
      <c r="C180" s="92"/>
      <c r="D180" s="96"/>
      <c r="E180" s="85"/>
      <c r="F180" s="47"/>
      <c r="G180" s="47"/>
      <c r="H180" s="47"/>
      <c r="I180" s="47"/>
      <c r="J180" s="47"/>
      <c r="K180" s="47"/>
      <c r="L180" s="47"/>
      <c r="M180" s="47"/>
      <c r="N180" s="47"/>
      <c r="O180" s="47"/>
      <c r="P180" s="114"/>
      <c r="Q180" s="7"/>
    </row>
    <row r="181" spans="1:16" ht="18.75" customHeight="1">
      <c r="A181" s="133"/>
      <c r="B181" s="133"/>
      <c r="C181" s="92"/>
      <c r="D181" s="105"/>
      <c r="E181" s="105"/>
      <c r="F181" s="28"/>
      <c r="G181" s="28"/>
      <c r="H181" s="106"/>
      <c r="I181" s="135"/>
      <c r="J181" s="135"/>
      <c r="K181" s="135"/>
      <c r="L181" s="135"/>
      <c r="M181" s="107"/>
      <c r="N181" s="108" t="s">
        <v>14</v>
      </c>
      <c r="O181" s="107"/>
      <c r="P181" s="28"/>
    </row>
    <row r="182" spans="1:16" ht="50.25" customHeight="1">
      <c r="A182" s="133"/>
      <c r="B182" s="133"/>
      <c r="C182" s="92"/>
      <c r="D182" s="41" t="s">
        <v>361</v>
      </c>
      <c r="E182" s="42"/>
      <c r="F182" s="42"/>
      <c r="G182" s="42"/>
      <c r="H182" s="109" t="s">
        <v>362</v>
      </c>
      <c r="I182" s="109"/>
      <c r="J182" s="110"/>
      <c r="K182" s="107"/>
      <c r="L182" s="107"/>
      <c r="M182" s="107"/>
      <c r="N182" s="107"/>
      <c r="O182" s="107"/>
      <c r="P182" s="28"/>
    </row>
    <row r="183" spans="1:16" ht="23.25" hidden="1">
      <c r="A183" s="9"/>
      <c r="B183" s="9"/>
      <c r="C183" s="8"/>
      <c r="D183" s="3"/>
      <c r="E183" s="16"/>
      <c r="F183" s="16"/>
      <c r="G183" s="16"/>
      <c r="H183" s="15"/>
      <c r="I183" s="15"/>
      <c r="J183" s="15"/>
      <c r="K183" s="15"/>
      <c r="L183" s="15"/>
      <c r="M183" s="15"/>
      <c r="N183" s="15"/>
      <c r="O183" s="15"/>
      <c r="P183" s="15"/>
    </row>
    <row r="184" spans="1:16" ht="23.25" hidden="1">
      <c r="A184" s="9"/>
      <c r="B184" s="9"/>
      <c r="C184" s="8"/>
      <c r="D184" s="5"/>
      <c r="E184" s="17"/>
      <c r="F184" s="17"/>
      <c r="G184" s="17"/>
      <c r="H184" s="18">
        <f>SUM(I184,L184)</f>
        <v>0</v>
      </c>
      <c r="I184" s="18">
        <f>SUM(I17)</f>
        <v>0</v>
      </c>
      <c r="J184" s="18">
        <f>SUM(J17)</f>
        <v>0.084</v>
      </c>
      <c r="K184" s="18">
        <f>SUM(K17)</f>
        <v>0.084</v>
      </c>
      <c r="L184" s="18">
        <f>SUM(L17)</f>
        <v>0</v>
      </c>
      <c r="M184" s="18"/>
      <c r="N184" s="18"/>
      <c r="O184" s="18" t="e">
        <f>SUM(#REF!,H184)</f>
        <v>#REF!</v>
      </c>
      <c r="P184" s="15"/>
    </row>
    <row r="185" spans="1:16" ht="23.25" hidden="1">
      <c r="A185" s="9"/>
      <c r="B185" s="9"/>
      <c r="C185" s="8"/>
      <c r="D185" s="5"/>
      <c r="E185" s="17"/>
      <c r="F185" s="17"/>
      <c r="G185" s="17"/>
      <c r="H185" s="18" t="e">
        <f aca="true" t="shared" si="30" ref="H185:H203">SUM(I185,L185)</f>
        <v>#REF!</v>
      </c>
      <c r="I185" s="18" t="e">
        <f>SUM(#REF!)</f>
        <v>#REF!</v>
      </c>
      <c r="J185" s="18" t="e">
        <f>SUM(#REF!)</f>
        <v>#REF!</v>
      </c>
      <c r="K185" s="18" t="e">
        <f>SUM(#REF!)</f>
        <v>#REF!</v>
      </c>
      <c r="L185" s="18" t="e">
        <f>SUM(#REF!)</f>
        <v>#REF!</v>
      </c>
      <c r="M185" s="18"/>
      <c r="N185" s="18"/>
      <c r="O185" s="18" t="e">
        <f>SUM(#REF!,H185)</f>
        <v>#REF!</v>
      </c>
      <c r="P185" s="15"/>
    </row>
    <row r="186" spans="1:16" ht="23.25" hidden="1">
      <c r="A186" s="9"/>
      <c r="B186" s="9"/>
      <c r="C186" s="8"/>
      <c r="D186" s="5"/>
      <c r="E186" s="17"/>
      <c r="F186" s="17"/>
      <c r="G186" s="17"/>
      <c r="H186" s="18" t="e">
        <f t="shared" si="30"/>
        <v>#REF!</v>
      </c>
      <c r="I186" s="18" t="e">
        <f>SUM(I59,#REF!,#REF!,#REF!,#REF!)</f>
        <v>#REF!</v>
      </c>
      <c r="J186" s="18" t="e">
        <f>SUM(J59,#REF!,#REF!,#REF!,#REF!)</f>
        <v>#REF!</v>
      </c>
      <c r="K186" s="18" t="e">
        <f>SUM(K59,#REF!,#REF!,#REF!,#REF!)</f>
        <v>#REF!</v>
      </c>
      <c r="L186" s="18" t="e">
        <f>SUM(L59,#REF!,#REF!,#REF!,#REF!)</f>
        <v>#REF!</v>
      </c>
      <c r="M186" s="18"/>
      <c r="N186" s="18"/>
      <c r="O186" s="18" t="e">
        <f>SUM(#REF!,H186)</f>
        <v>#REF!</v>
      </c>
      <c r="P186" s="15"/>
    </row>
    <row r="187" spans="1:16" ht="23.25" hidden="1">
      <c r="A187" s="9"/>
      <c r="B187" s="9"/>
      <c r="C187" s="8"/>
      <c r="D187" s="5"/>
      <c r="E187" s="17"/>
      <c r="F187" s="17"/>
      <c r="G187" s="17"/>
      <c r="H187" s="18">
        <f t="shared" si="30"/>
        <v>0</v>
      </c>
      <c r="I187" s="18">
        <f>SUM(I62)</f>
        <v>0</v>
      </c>
      <c r="J187" s="18">
        <f>SUM(J62)</f>
        <v>1380.1319999999998</v>
      </c>
      <c r="K187" s="18">
        <f>SUM(K62)</f>
        <v>6.82</v>
      </c>
      <c r="L187" s="18">
        <f>SUM(L62)</f>
        <v>0</v>
      </c>
      <c r="M187" s="18"/>
      <c r="N187" s="18"/>
      <c r="O187" s="18" t="e">
        <f>SUM(#REF!,H187)</f>
        <v>#REF!</v>
      </c>
      <c r="P187" s="15"/>
    </row>
    <row r="188" spans="1:16" ht="23.25" hidden="1">
      <c r="A188" s="9"/>
      <c r="B188" s="9"/>
      <c r="C188" s="8"/>
      <c r="D188" s="5"/>
      <c r="E188" s="17"/>
      <c r="F188" s="17"/>
      <c r="G188" s="17"/>
      <c r="H188" s="18" t="e">
        <f t="shared" si="30"/>
        <v>#REF!</v>
      </c>
      <c r="I188" s="18" t="e">
        <f>SUM(I94:I108,#REF!)</f>
        <v>#REF!</v>
      </c>
      <c r="J188" s="18" t="e">
        <f>SUM(J94:J108,#REF!)</f>
        <v>#REF!</v>
      </c>
      <c r="K188" s="18" t="e">
        <f>SUM(K94:K108,#REF!)</f>
        <v>#REF!</v>
      </c>
      <c r="L188" s="18" t="e">
        <f>SUM(L94:L108,#REF!)</f>
        <v>#REF!</v>
      </c>
      <c r="M188" s="18"/>
      <c r="N188" s="18"/>
      <c r="O188" s="18" t="e">
        <f>SUM(#REF!,H188)</f>
        <v>#REF!</v>
      </c>
      <c r="P188" s="15"/>
    </row>
    <row r="189" spans="1:16" ht="12.75" customHeight="1" hidden="1">
      <c r="A189" s="9"/>
      <c r="B189" s="9"/>
      <c r="C189" s="8"/>
      <c r="D189" s="5"/>
      <c r="E189" s="17"/>
      <c r="F189" s="17"/>
      <c r="G189" s="17"/>
      <c r="H189" s="18" t="e">
        <f>SUM(#REF!)</f>
        <v>#REF!</v>
      </c>
      <c r="I189" s="18" t="e">
        <f>SUM(#REF!)</f>
        <v>#REF!</v>
      </c>
      <c r="J189" s="18" t="e">
        <f>SUM(#REF!)</f>
        <v>#REF!</v>
      </c>
      <c r="K189" s="18" t="e">
        <f>SUM(#REF!)</f>
        <v>#REF!</v>
      </c>
      <c r="L189" s="18" t="e">
        <f>SUM(#REF!)</f>
        <v>#REF!</v>
      </c>
      <c r="M189" s="18"/>
      <c r="N189" s="18"/>
      <c r="O189" s="18" t="e">
        <f>SUM(#REF!,H189)</f>
        <v>#REF!</v>
      </c>
      <c r="P189" s="15"/>
    </row>
    <row r="190" spans="1:16" ht="23.25" hidden="1">
      <c r="A190" s="9"/>
      <c r="B190" s="9"/>
      <c r="C190" s="8"/>
      <c r="D190" s="5"/>
      <c r="E190" s="17"/>
      <c r="F190" s="17"/>
      <c r="G190" s="17"/>
      <c r="H190" s="18" t="e">
        <f t="shared" si="30"/>
        <v>#REF!</v>
      </c>
      <c r="I190" s="18" t="e">
        <f>SUM(#REF!,I152)</f>
        <v>#REF!</v>
      </c>
      <c r="J190" s="18" t="e">
        <f>SUM(#REF!,J152)</f>
        <v>#REF!</v>
      </c>
      <c r="K190" s="18" t="e">
        <f>SUM(#REF!,K152)</f>
        <v>#REF!</v>
      </c>
      <c r="L190" s="18" t="e">
        <f>SUM(#REF!,L152)</f>
        <v>#REF!</v>
      </c>
      <c r="M190" s="18"/>
      <c r="N190" s="18"/>
      <c r="O190" s="18" t="e">
        <f>SUM(#REF!,H190)</f>
        <v>#REF!</v>
      </c>
      <c r="P190" s="15"/>
    </row>
    <row r="191" spans="1:16" ht="23.25" hidden="1">
      <c r="A191" s="9"/>
      <c r="B191" s="9"/>
      <c r="C191" s="8"/>
      <c r="D191" s="5"/>
      <c r="E191" s="17"/>
      <c r="F191" s="17"/>
      <c r="G191" s="17"/>
      <c r="H191" s="18" t="e">
        <f t="shared" si="30"/>
        <v>#REF!</v>
      </c>
      <c r="I191" s="18" t="e">
        <f>SUM(#REF!,#REF!)</f>
        <v>#REF!</v>
      </c>
      <c r="J191" s="18" t="e">
        <f>SUM(#REF!,#REF!)</f>
        <v>#REF!</v>
      </c>
      <c r="K191" s="18" t="e">
        <f>SUM(#REF!,#REF!)</f>
        <v>#REF!</v>
      </c>
      <c r="L191" s="18" t="e">
        <f>SUM(#REF!,#REF!)</f>
        <v>#REF!</v>
      </c>
      <c r="M191" s="18"/>
      <c r="N191" s="18"/>
      <c r="O191" s="18" t="e">
        <f>SUM(#REF!,H191)</f>
        <v>#REF!</v>
      </c>
      <c r="P191" s="15"/>
    </row>
    <row r="192" spans="1:16" ht="23.25" hidden="1">
      <c r="A192" s="9"/>
      <c r="B192" s="9"/>
      <c r="C192" s="8"/>
      <c r="D192" s="5"/>
      <c r="E192" s="17"/>
      <c r="F192" s="17"/>
      <c r="G192" s="17"/>
      <c r="H192" s="18" t="e">
        <f t="shared" si="30"/>
        <v>#REF!</v>
      </c>
      <c r="I192" s="18" t="e">
        <f>SUM(#REF!)</f>
        <v>#REF!</v>
      </c>
      <c r="J192" s="18" t="e">
        <f>SUM(#REF!)</f>
        <v>#REF!</v>
      </c>
      <c r="K192" s="18" t="e">
        <f>SUM(#REF!)</f>
        <v>#REF!</v>
      </c>
      <c r="L192" s="18" t="e">
        <f>SUM(#REF!)</f>
        <v>#REF!</v>
      </c>
      <c r="M192" s="18"/>
      <c r="N192" s="18"/>
      <c r="O192" s="18" t="e">
        <f>SUM(#REF!,H192)</f>
        <v>#REF!</v>
      </c>
      <c r="P192" s="15"/>
    </row>
    <row r="193" spans="1:16" ht="23.25" hidden="1">
      <c r="A193" s="9"/>
      <c r="B193" s="9"/>
      <c r="C193" s="8"/>
      <c r="D193" s="5"/>
      <c r="E193" s="17"/>
      <c r="F193" s="17"/>
      <c r="G193" s="17"/>
      <c r="H193" s="18" t="e">
        <f t="shared" si="30"/>
        <v>#REF!</v>
      </c>
      <c r="I193" s="18" t="e">
        <f>SUM(#REF!,#REF!,#REF!,#REF!,#REF!,#REF!,#REF!,#REF!,#REF!,#REF!,#REF!)</f>
        <v>#REF!</v>
      </c>
      <c r="J193" s="18" t="e">
        <f>SUM(#REF!,#REF!,#REF!,#REF!,#REF!,#REF!,#REF!,#REF!,#REF!,#REF!,#REF!)</f>
        <v>#REF!</v>
      </c>
      <c r="K193" s="18" t="e">
        <f>SUM(#REF!,#REF!,#REF!,#REF!,#REF!,#REF!,#REF!,#REF!,#REF!,#REF!,#REF!)</f>
        <v>#REF!</v>
      </c>
      <c r="L193" s="18" t="e">
        <f>SUM(#REF!,#REF!,#REF!,#REF!,#REF!,#REF!,#REF!,#REF!,#REF!,#REF!,#REF!)</f>
        <v>#REF!</v>
      </c>
      <c r="M193" s="18"/>
      <c r="N193" s="18"/>
      <c r="O193" s="18" t="e">
        <f>SUM(#REF!,H193)</f>
        <v>#REF!</v>
      </c>
      <c r="P193" s="15"/>
    </row>
    <row r="194" spans="1:16" ht="23.25" hidden="1">
      <c r="A194" s="9"/>
      <c r="B194" s="9"/>
      <c r="C194" s="8"/>
      <c r="D194" s="5"/>
      <c r="E194" s="17"/>
      <c r="F194" s="17"/>
      <c r="G194" s="17"/>
      <c r="H194" s="18" t="e">
        <f t="shared" si="30"/>
        <v>#REF!</v>
      </c>
      <c r="I194" s="18" t="e">
        <f>SUM(#REF!)</f>
        <v>#REF!</v>
      </c>
      <c r="J194" s="18" t="e">
        <f>SUM(#REF!)</f>
        <v>#REF!</v>
      </c>
      <c r="K194" s="18" t="e">
        <f>SUM(#REF!)</f>
        <v>#REF!</v>
      </c>
      <c r="L194" s="18" t="e">
        <f>SUM(#REF!)</f>
        <v>#REF!</v>
      </c>
      <c r="M194" s="18"/>
      <c r="N194" s="18"/>
      <c r="O194" s="18" t="e">
        <f>SUM(#REF!,H194)</f>
        <v>#REF!</v>
      </c>
      <c r="P194" s="15"/>
    </row>
    <row r="195" spans="1:16" ht="23.25" hidden="1">
      <c r="A195" s="9"/>
      <c r="B195" s="9"/>
      <c r="C195" s="8"/>
      <c r="D195" s="5"/>
      <c r="E195" s="17"/>
      <c r="F195" s="17"/>
      <c r="G195" s="17"/>
      <c r="H195" s="18" t="e">
        <f t="shared" si="30"/>
        <v>#REF!</v>
      </c>
      <c r="I195" s="18" t="e">
        <f>SUM(#REF!,#REF!,#REF!,#REF!,#REF!,#REF!)</f>
        <v>#REF!</v>
      </c>
      <c r="J195" s="18" t="e">
        <f>SUM(#REF!,#REF!,#REF!,#REF!,#REF!,#REF!)</f>
        <v>#REF!</v>
      </c>
      <c r="K195" s="18" t="e">
        <f>SUM(#REF!,#REF!,#REF!,#REF!,#REF!,#REF!)</f>
        <v>#REF!</v>
      </c>
      <c r="L195" s="18" t="e">
        <f>SUM(#REF!,#REF!,#REF!,#REF!,#REF!,#REF!)</f>
        <v>#REF!</v>
      </c>
      <c r="M195" s="18"/>
      <c r="N195" s="18"/>
      <c r="O195" s="18" t="e">
        <f>SUM(#REF!,H195)</f>
        <v>#REF!</v>
      </c>
      <c r="P195" s="15"/>
    </row>
    <row r="196" spans="1:16" ht="23.25" hidden="1">
      <c r="A196" s="9"/>
      <c r="B196" s="9"/>
      <c r="C196" s="8"/>
      <c r="D196" s="5"/>
      <c r="E196" s="17"/>
      <c r="F196" s="17"/>
      <c r="G196" s="17"/>
      <c r="H196" s="18" t="e">
        <f t="shared" si="30"/>
        <v>#REF!</v>
      </c>
      <c r="I196" s="18" t="e">
        <f>SUM(#REF!,#REF!)</f>
        <v>#REF!</v>
      </c>
      <c r="J196" s="18" t="e">
        <f>SUM(#REF!,#REF!)</f>
        <v>#REF!</v>
      </c>
      <c r="K196" s="18" t="e">
        <f>SUM(#REF!,#REF!)</f>
        <v>#REF!</v>
      </c>
      <c r="L196" s="18" t="e">
        <f>SUM(#REF!,#REF!)</f>
        <v>#REF!</v>
      </c>
      <c r="M196" s="18"/>
      <c r="N196" s="18"/>
      <c r="O196" s="18" t="e">
        <f>SUM(#REF!,H196)</f>
        <v>#REF!</v>
      </c>
      <c r="P196" s="15"/>
    </row>
    <row r="197" spans="1:16" ht="23.25" hidden="1">
      <c r="A197" s="9"/>
      <c r="B197" s="9"/>
      <c r="C197" s="8"/>
      <c r="D197" s="5"/>
      <c r="E197" s="17"/>
      <c r="F197" s="17"/>
      <c r="G197" s="17"/>
      <c r="H197" s="18" t="e">
        <f t="shared" si="30"/>
        <v>#REF!</v>
      </c>
      <c r="I197" s="18" t="e">
        <f>SUM(#REF!)</f>
        <v>#REF!</v>
      </c>
      <c r="J197" s="18" t="e">
        <f>SUM(#REF!)</f>
        <v>#REF!</v>
      </c>
      <c r="K197" s="18" t="e">
        <f>SUM(#REF!)</f>
        <v>#REF!</v>
      </c>
      <c r="L197" s="18" t="e">
        <f>SUM(#REF!)</f>
        <v>#REF!</v>
      </c>
      <c r="M197" s="18"/>
      <c r="N197" s="18"/>
      <c r="O197" s="18" t="e">
        <f>SUM(#REF!,H197)</f>
        <v>#REF!</v>
      </c>
      <c r="P197" s="15"/>
    </row>
    <row r="198" spans="1:16" ht="23.25" hidden="1">
      <c r="A198" s="9"/>
      <c r="B198" s="9"/>
      <c r="C198" s="10"/>
      <c r="D198" s="5"/>
      <c r="E198" s="17"/>
      <c r="F198" s="17"/>
      <c r="G198" s="17"/>
      <c r="H198" s="18" t="e">
        <f t="shared" si="30"/>
        <v>#REF!</v>
      </c>
      <c r="I198" s="18" t="e">
        <f>SUM(#REF!,#REF!,#REF!,#REF!,#REF!)</f>
        <v>#REF!</v>
      </c>
      <c r="J198" s="18" t="e">
        <f>SUM(#REF!,#REF!,#REF!,#REF!,#REF!)</f>
        <v>#REF!</v>
      </c>
      <c r="K198" s="18" t="e">
        <f>SUM(#REF!,#REF!,#REF!,#REF!,#REF!)</f>
        <v>#REF!</v>
      </c>
      <c r="L198" s="18" t="e">
        <f>SUM(#REF!,#REF!,#REF!,#REF!,#REF!)</f>
        <v>#REF!</v>
      </c>
      <c r="M198" s="18"/>
      <c r="N198" s="18"/>
      <c r="O198" s="18" t="e">
        <f>SUM(#REF!,H198)</f>
        <v>#REF!</v>
      </c>
      <c r="P198" s="15"/>
    </row>
    <row r="199" spans="1:16" ht="23.25" hidden="1">
      <c r="A199" s="9"/>
      <c r="B199" s="9"/>
      <c r="C199" s="10"/>
      <c r="D199" s="5"/>
      <c r="E199" s="17"/>
      <c r="F199" s="17"/>
      <c r="G199" s="17"/>
      <c r="H199" s="18" t="e">
        <f>SUM(#REF!,#REF!,#REF!,#REF!,#REF!,#REF!)</f>
        <v>#REF!</v>
      </c>
      <c r="I199" s="18" t="e">
        <f>SUM(#REF!,#REF!,#REF!,#REF!,#REF!,#REF!)</f>
        <v>#REF!</v>
      </c>
      <c r="J199" s="18" t="e">
        <f>SUM(#REF!,#REF!,#REF!,#REF!,#REF!,#REF!)</f>
        <v>#REF!</v>
      </c>
      <c r="K199" s="18" t="e">
        <f>SUM(#REF!,#REF!,#REF!,#REF!,#REF!,#REF!)</f>
        <v>#REF!</v>
      </c>
      <c r="L199" s="18" t="e">
        <f>SUM(#REF!,#REF!,#REF!,#REF!,#REF!,#REF!)</f>
        <v>#REF!</v>
      </c>
      <c r="M199" s="18"/>
      <c r="N199" s="18"/>
      <c r="O199" s="18" t="e">
        <f>SUM(#REF!,H199)</f>
        <v>#REF!</v>
      </c>
      <c r="P199" s="15"/>
    </row>
    <row r="200" spans="1:16" ht="20.25" customHeight="1" hidden="1">
      <c r="A200" s="9"/>
      <c r="B200" s="9"/>
      <c r="C200" s="10"/>
      <c r="D200" s="5"/>
      <c r="E200" s="17"/>
      <c r="F200" s="17"/>
      <c r="G200" s="17"/>
      <c r="H200" s="18" t="e">
        <f t="shared" si="30"/>
        <v>#REF!</v>
      </c>
      <c r="I200" s="18" t="e">
        <f>SUM(#REF!)</f>
        <v>#REF!</v>
      </c>
      <c r="J200" s="18" t="e">
        <f>SUM(#REF!)</f>
        <v>#REF!</v>
      </c>
      <c r="K200" s="18" t="e">
        <f>SUM(#REF!)</f>
        <v>#REF!</v>
      </c>
      <c r="L200" s="18" t="e">
        <f>SUM(#REF!)</f>
        <v>#REF!</v>
      </c>
      <c r="M200" s="18"/>
      <c r="N200" s="18"/>
      <c r="O200" s="18" t="e">
        <f>SUM(#REF!,H200)</f>
        <v>#REF!</v>
      </c>
      <c r="P200" s="15"/>
    </row>
    <row r="201" spans="1:16" ht="21" customHeight="1" hidden="1">
      <c r="A201" s="9"/>
      <c r="B201" s="9"/>
      <c r="C201" s="10"/>
      <c r="D201" s="5"/>
      <c r="E201" s="17"/>
      <c r="F201" s="17"/>
      <c r="G201" s="17"/>
      <c r="H201" s="18" t="e">
        <f t="shared" si="30"/>
        <v>#REF!</v>
      </c>
      <c r="I201" s="18" t="e">
        <f>SUM(#REF!,#REF!)</f>
        <v>#REF!</v>
      </c>
      <c r="J201" s="18" t="e">
        <f>SUM(#REF!,#REF!)</f>
        <v>#REF!</v>
      </c>
      <c r="K201" s="18" t="e">
        <f>SUM(#REF!,#REF!)</f>
        <v>#REF!</v>
      </c>
      <c r="L201" s="18" t="e">
        <f>SUM(#REF!,#REF!)</f>
        <v>#REF!</v>
      </c>
      <c r="M201" s="18"/>
      <c r="N201" s="18"/>
      <c r="O201" s="18" t="e">
        <f>SUM(#REF!,H201)</f>
        <v>#REF!</v>
      </c>
      <c r="P201" s="15"/>
    </row>
    <row r="202" spans="1:16" ht="24.75" customHeight="1" hidden="1">
      <c r="A202" s="9"/>
      <c r="B202" s="9"/>
      <c r="C202" s="10"/>
      <c r="D202" s="5"/>
      <c r="E202" s="17"/>
      <c r="F202" s="17"/>
      <c r="G202" s="17"/>
      <c r="H202" s="18" t="e">
        <f t="shared" si="30"/>
        <v>#REF!</v>
      </c>
      <c r="I202" s="18" t="e">
        <f>SUM(#REF!,#REF!)</f>
        <v>#REF!</v>
      </c>
      <c r="J202" s="18" t="e">
        <f>SUM(#REF!,#REF!)</f>
        <v>#REF!</v>
      </c>
      <c r="K202" s="18" t="e">
        <f>SUM(#REF!,#REF!)</f>
        <v>#REF!</v>
      </c>
      <c r="L202" s="18" t="e">
        <f>SUM(#REF!,#REF!)</f>
        <v>#REF!</v>
      </c>
      <c r="M202" s="18"/>
      <c r="N202" s="18"/>
      <c r="O202" s="18" t="e">
        <f>SUM(#REF!,H202)</f>
        <v>#REF!</v>
      </c>
      <c r="P202" s="15"/>
    </row>
    <row r="203" spans="1:16" ht="24.75" customHeight="1" hidden="1">
      <c r="A203" s="9"/>
      <c r="B203" s="9"/>
      <c r="C203" s="10"/>
      <c r="D203" s="5"/>
      <c r="E203" s="17"/>
      <c r="F203" s="17"/>
      <c r="G203" s="17"/>
      <c r="H203" s="18">
        <f t="shared" si="30"/>
        <v>0</v>
      </c>
      <c r="I203" s="18"/>
      <c r="J203" s="18"/>
      <c r="K203" s="18"/>
      <c r="L203" s="18"/>
      <c r="M203" s="18"/>
      <c r="N203" s="18"/>
      <c r="O203" s="18" t="e">
        <f>SUM(#REF!,H203)</f>
        <v>#REF!</v>
      </c>
      <c r="P203" s="15"/>
    </row>
    <row r="204" spans="1:16" ht="13.5" customHeight="1">
      <c r="A204" s="9"/>
      <c r="B204" s="9"/>
      <c r="C204" s="10"/>
      <c r="D204" s="5"/>
      <c r="E204" s="17"/>
      <c r="F204" s="17"/>
      <c r="G204" s="17"/>
      <c r="H204" s="18"/>
      <c r="I204" s="18"/>
      <c r="J204" s="18"/>
      <c r="K204" s="18"/>
      <c r="L204" s="18"/>
      <c r="M204" s="18"/>
      <c r="N204" s="18"/>
      <c r="O204" s="18"/>
      <c r="P204" s="15"/>
    </row>
    <row r="205" spans="1:16" ht="19.5" customHeight="1">
      <c r="A205" s="9"/>
      <c r="B205" s="9"/>
      <c r="C205" s="10"/>
      <c r="D205" s="5"/>
      <c r="E205" s="17"/>
      <c r="F205" s="17"/>
      <c r="G205" s="17"/>
      <c r="H205" s="18"/>
      <c r="I205" s="18"/>
      <c r="J205" s="18"/>
      <c r="K205" s="18"/>
      <c r="L205" s="18"/>
      <c r="M205" s="18"/>
      <c r="N205" s="18"/>
      <c r="O205" s="18"/>
      <c r="P205" s="15"/>
    </row>
    <row r="206" spans="1:16" ht="23.25">
      <c r="A206" s="9"/>
      <c r="B206" s="9"/>
      <c r="C206" s="10"/>
      <c r="D206" s="4"/>
      <c r="E206" s="16"/>
      <c r="F206" s="16"/>
      <c r="G206" s="16"/>
      <c r="H206" s="15"/>
      <c r="I206" s="15"/>
      <c r="J206" s="15"/>
      <c r="K206" s="15"/>
      <c r="L206" s="15"/>
      <c r="M206" s="15"/>
      <c r="N206" s="15"/>
      <c r="O206" s="15"/>
      <c r="P206" s="15"/>
    </row>
    <row r="207" spans="1:15" ht="15.75">
      <c r="A207" s="9"/>
      <c r="B207" s="9"/>
      <c r="C207" s="10"/>
      <c r="D207" s="4"/>
      <c r="E207" s="7"/>
      <c r="F207" s="7"/>
      <c r="G207" s="7"/>
      <c r="O207" s="7"/>
    </row>
    <row r="208" spans="1:7" ht="15.75">
      <c r="A208" s="9"/>
      <c r="B208" s="9"/>
      <c r="C208" s="10"/>
      <c r="D208" s="4"/>
      <c r="E208" s="7"/>
      <c r="F208" s="7"/>
      <c r="G208" s="7"/>
    </row>
    <row r="209" spans="1:7" ht="15.75">
      <c r="A209" s="9"/>
      <c r="B209" s="9"/>
      <c r="C209" s="10"/>
      <c r="D209" s="4"/>
      <c r="E209" s="7"/>
      <c r="F209" s="7"/>
      <c r="G209" s="7"/>
    </row>
    <row r="210" spans="1:7" ht="15.75">
      <c r="A210" s="9"/>
      <c r="B210" s="9"/>
      <c r="C210" s="10"/>
      <c r="D210" s="4"/>
      <c r="E210" s="7"/>
      <c r="F210" s="7"/>
      <c r="G210" s="7"/>
    </row>
    <row r="211" spans="1:7" ht="15.75">
      <c r="A211" s="9"/>
      <c r="B211" s="9"/>
      <c r="C211" s="10"/>
      <c r="D211" s="4"/>
      <c r="E211" s="7"/>
      <c r="F211" s="7"/>
      <c r="G211" s="7"/>
    </row>
    <row r="212" spans="1:7" ht="15.75">
      <c r="A212" s="9"/>
      <c r="B212" s="9"/>
      <c r="C212" s="10"/>
      <c r="D212" s="4"/>
      <c r="E212" s="7"/>
      <c r="F212" s="7"/>
      <c r="G212" s="7"/>
    </row>
    <row r="213" spans="1:7" ht="15.75">
      <c r="A213" s="9"/>
      <c r="B213" s="9"/>
      <c r="C213" s="10"/>
      <c r="D213" s="4"/>
      <c r="E213" s="7"/>
      <c r="F213" s="7"/>
      <c r="G213" s="7"/>
    </row>
    <row r="214" spans="1:7" ht="15.75">
      <c r="A214" s="9"/>
      <c r="B214" s="9"/>
      <c r="C214" s="10"/>
      <c r="D214" s="4"/>
      <c r="E214" s="7"/>
      <c r="F214" s="7"/>
      <c r="G214" s="7"/>
    </row>
    <row r="215" spans="1:7" ht="15.75">
      <c r="A215" s="9"/>
      <c r="B215" s="9"/>
      <c r="C215" s="10"/>
      <c r="D215" s="4"/>
      <c r="E215" s="7"/>
      <c r="F215" s="7"/>
      <c r="G215" s="7"/>
    </row>
    <row r="216" spans="1:7" ht="15.75">
      <c r="A216" s="9"/>
      <c r="B216" s="9"/>
      <c r="C216" s="10"/>
      <c r="D216" s="4"/>
      <c r="E216" s="7"/>
      <c r="F216" s="7"/>
      <c r="G216" s="7"/>
    </row>
    <row r="217" spans="1:7" ht="15.75">
      <c r="A217" s="9"/>
      <c r="B217" s="9"/>
      <c r="C217" s="10"/>
      <c r="D217" s="4"/>
      <c r="E217" s="7"/>
      <c r="F217" s="7"/>
      <c r="G217" s="7"/>
    </row>
    <row r="218" spans="1:7" ht="15.75">
      <c r="A218" s="9"/>
      <c r="B218" s="9"/>
      <c r="C218" s="10"/>
      <c r="D218" s="4"/>
      <c r="E218" s="7"/>
      <c r="F218" s="7"/>
      <c r="G218" s="7"/>
    </row>
    <row r="219" spans="1:7" ht="15.75">
      <c r="A219" s="9"/>
      <c r="B219" s="9"/>
      <c r="C219" s="10"/>
      <c r="D219" s="4"/>
      <c r="E219" s="7"/>
      <c r="F219" s="7"/>
      <c r="G219" s="7"/>
    </row>
    <row r="220" spans="1:7" ht="15.75">
      <c r="A220" s="9"/>
      <c r="B220" s="9"/>
      <c r="C220" s="10"/>
      <c r="D220" s="4"/>
      <c r="E220" s="7"/>
      <c r="F220" s="7"/>
      <c r="G220" s="7"/>
    </row>
    <row r="221" spans="1:7" ht="15.75">
      <c r="A221" s="9"/>
      <c r="B221" s="9"/>
      <c r="C221" s="10"/>
      <c r="D221" s="4"/>
      <c r="E221" s="7"/>
      <c r="F221" s="7"/>
      <c r="G221" s="7"/>
    </row>
    <row r="222" spans="1:7" ht="15.75">
      <c r="A222" s="9"/>
      <c r="B222" s="9"/>
      <c r="C222" s="10"/>
      <c r="D222" s="4"/>
      <c r="E222" s="7"/>
      <c r="F222" s="7"/>
      <c r="G222" s="7"/>
    </row>
    <row r="223" spans="1:7" ht="15.75">
      <c r="A223" s="9"/>
      <c r="B223" s="9"/>
      <c r="C223" s="10"/>
      <c r="D223" s="4"/>
      <c r="E223" s="7"/>
      <c r="F223" s="7"/>
      <c r="G223" s="7"/>
    </row>
    <row r="224" spans="1:7" ht="15.75">
      <c r="A224" s="9"/>
      <c r="B224" s="9"/>
      <c r="C224" s="10"/>
      <c r="D224" s="4"/>
      <c r="E224" s="7"/>
      <c r="F224" s="7"/>
      <c r="G224" s="7"/>
    </row>
    <row r="225" spans="1:7" ht="15.75">
      <c r="A225" s="9"/>
      <c r="B225" s="9"/>
      <c r="C225" s="10"/>
      <c r="D225" s="4"/>
      <c r="E225" s="7"/>
      <c r="F225" s="7"/>
      <c r="G225" s="7"/>
    </row>
    <row r="226" spans="1:7" ht="15.75">
      <c r="A226" s="9"/>
      <c r="B226" s="9"/>
      <c r="C226" s="10"/>
      <c r="D226" s="4"/>
      <c r="E226" s="7"/>
      <c r="F226" s="7"/>
      <c r="G226" s="7"/>
    </row>
    <row r="227" spans="1:7" ht="15.75">
      <c r="A227" s="9"/>
      <c r="B227" s="9"/>
      <c r="C227" s="10"/>
      <c r="D227" s="4"/>
      <c r="E227" s="7"/>
      <c r="F227" s="7"/>
      <c r="G227" s="7"/>
    </row>
    <row r="228" spans="1:7" ht="15.75">
      <c r="A228" s="9"/>
      <c r="B228" s="9"/>
      <c r="C228" s="10"/>
      <c r="D228" s="4"/>
      <c r="E228" s="7"/>
      <c r="F228" s="7"/>
      <c r="G228" s="7"/>
    </row>
    <row r="229" spans="1:7" ht="15.75">
      <c r="A229" s="9"/>
      <c r="B229" s="9"/>
      <c r="C229" s="10"/>
      <c r="D229" s="4"/>
      <c r="E229" s="7"/>
      <c r="F229" s="7"/>
      <c r="G229" s="7"/>
    </row>
    <row r="230" spans="1:7" ht="15.75">
      <c r="A230" s="9"/>
      <c r="B230" s="9"/>
      <c r="C230" s="10"/>
      <c r="D230" s="4"/>
      <c r="E230" s="7"/>
      <c r="F230" s="7"/>
      <c r="G230" s="7"/>
    </row>
    <row r="231" spans="1:7" ht="15.75">
      <c r="A231" s="9"/>
      <c r="B231" s="9"/>
      <c r="C231" s="10"/>
      <c r="D231" s="4"/>
      <c r="E231" s="7"/>
      <c r="F231" s="7"/>
      <c r="G231" s="7"/>
    </row>
    <row r="232" spans="1:7" ht="15.75">
      <c r="A232" s="9"/>
      <c r="B232" s="9"/>
      <c r="C232" s="10"/>
      <c r="D232" s="4"/>
      <c r="E232" s="7"/>
      <c r="F232" s="7"/>
      <c r="G232" s="7"/>
    </row>
    <row r="233" spans="1:7" ht="15.75">
      <c r="A233" s="9"/>
      <c r="B233" s="9"/>
      <c r="C233" s="10"/>
      <c r="D233" s="4"/>
      <c r="E233" s="7"/>
      <c r="F233" s="7"/>
      <c r="G233" s="7"/>
    </row>
    <row r="234" spans="1:7" ht="15.75">
      <c r="A234" s="9"/>
      <c r="B234" s="9"/>
      <c r="C234" s="10"/>
      <c r="D234" s="4"/>
      <c r="E234" s="7"/>
      <c r="F234" s="7"/>
      <c r="G234" s="7"/>
    </row>
    <row r="235" spans="1:7" ht="15.75">
      <c r="A235" s="9"/>
      <c r="B235" s="9"/>
      <c r="C235" s="10"/>
      <c r="D235" s="4"/>
      <c r="E235" s="7"/>
      <c r="F235" s="7"/>
      <c r="G235" s="7"/>
    </row>
    <row r="236" spans="1:7" ht="15.75">
      <c r="A236" s="9"/>
      <c r="B236" s="9"/>
      <c r="C236" s="10"/>
      <c r="D236" s="4"/>
      <c r="E236" s="7"/>
      <c r="F236" s="7"/>
      <c r="G236" s="7"/>
    </row>
    <row r="237" spans="1:7" ht="15.75">
      <c r="A237" s="9"/>
      <c r="B237" s="9"/>
      <c r="C237" s="10"/>
      <c r="D237" s="4"/>
      <c r="E237" s="7"/>
      <c r="F237" s="7"/>
      <c r="G237" s="7"/>
    </row>
    <row r="238" spans="1:7" ht="15.75">
      <c r="A238" s="9"/>
      <c r="B238" s="9"/>
      <c r="C238" s="10"/>
      <c r="D238" s="4"/>
      <c r="E238" s="7"/>
      <c r="F238" s="7"/>
      <c r="G238" s="7"/>
    </row>
    <row r="239" spans="1:7" ht="15.75">
      <c r="A239" s="9"/>
      <c r="B239" s="9"/>
      <c r="C239" s="10"/>
      <c r="D239" s="4"/>
      <c r="E239" s="7"/>
      <c r="F239" s="7"/>
      <c r="G239" s="7"/>
    </row>
    <row r="240" spans="1:7" ht="15.75">
      <c r="A240" s="9"/>
      <c r="B240" s="9"/>
      <c r="C240" s="10"/>
      <c r="D240" s="4"/>
      <c r="E240" s="7"/>
      <c r="F240" s="7"/>
      <c r="G240" s="7"/>
    </row>
    <row r="241" spans="1:7" ht="15.75">
      <c r="A241" s="9"/>
      <c r="B241" s="9"/>
      <c r="C241" s="10"/>
      <c r="D241" s="4"/>
      <c r="E241" s="7"/>
      <c r="F241" s="7"/>
      <c r="G241" s="7"/>
    </row>
    <row r="242" spans="1:7" ht="15.75">
      <c r="A242" s="9"/>
      <c r="B242" s="9"/>
      <c r="C242" s="10"/>
      <c r="D242" s="4"/>
      <c r="E242" s="7"/>
      <c r="F242" s="7"/>
      <c r="G242" s="7"/>
    </row>
    <row r="243" spans="1:7" ht="15.75">
      <c r="A243" s="9"/>
      <c r="B243" s="9"/>
      <c r="C243" s="10"/>
      <c r="D243" s="4"/>
      <c r="E243" s="7"/>
      <c r="F243" s="7"/>
      <c r="G243" s="7"/>
    </row>
    <row r="244" spans="1:7" ht="15.75">
      <c r="A244" s="9"/>
      <c r="B244" s="9"/>
      <c r="C244" s="10"/>
      <c r="D244" s="4"/>
      <c r="E244" s="7"/>
      <c r="F244" s="7"/>
      <c r="G244" s="7"/>
    </row>
    <row r="245" spans="1:7" ht="15.75">
      <c r="A245" s="9"/>
      <c r="B245" s="9"/>
      <c r="C245" s="10"/>
      <c r="D245" s="4"/>
      <c r="E245" s="7"/>
      <c r="F245" s="7"/>
      <c r="G245" s="7"/>
    </row>
    <row r="246" spans="1:7" ht="15.75">
      <c r="A246" s="9"/>
      <c r="B246" s="9"/>
      <c r="C246" s="10"/>
      <c r="D246" s="4"/>
      <c r="E246" s="7"/>
      <c r="F246" s="7"/>
      <c r="G246" s="7"/>
    </row>
    <row r="247" spans="1:7" ht="15.75">
      <c r="A247" s="9"/>
      <c r="B247" s="9"/>
      <c r="C247" s="10"/>
      <c r="D247" s="4"/>
      <c r="E247" s="7"/>
      <c r="F247" s="7"/>
      <c r="G247" s="7"/>
    </row>
    <row r="248" spans="1:7" ht="15.75">
      <c r="A248" s="9"/>
      <c r="B248" s="9"/>
      <c r="C248" s="10"/>
      <c r="D248" s="4"/>
      <c r="E248" s="7"/>
      <c r="F248" s="7"/>
      <c r="G248" s="7"/>
    </row>
    <row r="249" spans="1:7" ht="15.75">
      <c r="A249" s="9"/>
      <c r="B249" s="9"/>
      <c r="C249" s="10"/>
      <c r="D249" s="4"/>
      <c r="E249" s="7"/>
      <c r="F249" s="7"/>
      <c r="G249" s="7"/>
    </row>
    <row r="250" spans="1:7" ht="15.75">
      <c r="A250" s="9"/>
      <c r="B250" s="9"/>
      <c r="C250" s="10"/>
      <c r="D250" s="4"/>
      <c r="E250" s="7"/>
      <c r="F250" s="7"/>
      <c r="G250" s="7"/>
    </row>
    <row r="251" spans="1:7" ht="15.75">
      <c r="A251" s="9"/>
      <c r="B251" s="9"/>
      <c r="C251" s="10"/>
      <c r="D251" s="4"/>
      <c r="E251" s="7"/>
      <c r="F251" s="7"/>
      <c r="G251" s="7"/>
    </row>
    <row r="252" spans="1:7" ht="15.75">
      <c r="A252" s="9"/>
      <c r="B252" s="9"/>
      <c r="C252" s="10"/>
      <c r="D252" s="4"/>
      <c r="E252" s="7"/>
      <c r="F252" s="7"/>
      <c r="G252" s="7"/>
    </row>
    <row r="253" spans="1:7" ht="15.75">
      <c r="A253" s="9"/>
      <c r="B253" s="9"/>
      <c r="C253" s="10"/>
      <c r="D253" s="4"/>
      <c r="E253" s="7"/>
      <c r="F253" s="7"/>
      <c r="G253" s="7"/>
    </row>
    <row r="254" spans="1:7" ht="15.75">
      <c r="A254" s="9"/>
      <c r="B254" s="9"/>
      <c r="C254" s="10"/>
      <c r="D254" s="4"/>
      <c r="E254" s="7"/>
      <c r="F254" s="7"/>
      <c r="G254" s="7"/>
    </row>
    <row r="255" spans="1:7" ht="15.75">
      <c r="A255" s="9"/>
      <c r="B255" s="9"/>
      <c r="C255" s="10"/>
      <c r="D255" s="4"/>
      <c r="E255" s="7"/>
      <c r="F255" s="7"/>
      <c r="G255" s="7"/>
    </row>
    <row r="256" spans="1:7" ht="15.75">
      <c r="A256" s="9"/>
      <c r="B256" s="9"/>
      <c r="C256" s="10"/>
      <c r="D256" s="4"/>
      <c r="E256" s="7"/>
      <c r="F256" s="7"/>
      <c r="G256" s="7"/>
    </row>
    <row r="257" spans="1:7" ht="15.75">
      <c r="A257" s="9"/>
      <c r="B257" s="9"/>
      <c r="C257" s="10"/>
      <c r="D257" s="4"/>
      <c r="E257" s="7"/>
      <c r="F257" s="7"/>
      <c r="G257" s="7"/>
    </row>
    <row r="258" spans="1:7" ht="15.75">
      <c r="A258" s="9"/>
      <c r="B258" s="9"/>
      <c r="C258" s="10"/>
      <c r="D258" s="4"/>
      <c r="E258" s="7"/>
      <c r="F258" s="7"/>
      <c r="G258" s="7"/>
    </row>
    <row r="259" spans="1:7" ht="15.75">
      <c r="A259" s="9"/>
      <c r="B259" s="9"/>
      <c r="C259" s="10"/>
      <c r="D259" s="4"/>
      <c r="E259" s="7"/>
      <c r="F259" s="7"/>
      <c r="G259" s="7"/>
    </row>
    <row r="260" spans="1:7" ht="15.75">
      <c r="A260" s="9"/>
      <c r="B260" s="9"/>
      <c r="C260" s="10"/>
      <c r="D260" s="4"/>
      <c r="E260" s="7"/>
      <c r="F260" s="7"/>
      <c r="G260" s="7"/>
    </row>
    <row r="261" spans="1:7" ht="15.75">
      <c r="A261" s="9"/>
      <c r="B261" s="9"/>
      <c r="C261" s="10"/>
      <c r="D261" s="4"/>
      <c r="E261" s="7"/>
      <c r="F261" s="7"/>
      <c r="G261" s="7"/>
    </row>
    <row r="262" spans="1:7" ht="15.75">
      <c r="A262" s="9"/>
      <c r="B262" s="9"/>
      <c r="C262" s="10"/>
      <c r="D262" s="4"/>
      <c r="E262" s="7"/>
      <c r="F262" s="7"/>
      <c r="G262" s="7"/>
    </row>
    <row r="263" spans="1:7" ht="15.75">
      <c r="A263" s="9"/>
      <c r="B263" s="9"/>
      <c r="C263" s="10"/>
      <c r="D263" s="4"/>
      <c r="E263" s="7"/>
      <c r="F263" s="7"/>
      <c r="G263" s="7"/>
    </row>
    <row r="264" spans="1:7" ht="15.75">
      <c r="A264" s="9"/>
      <c r="B264" s="9"/>
      <c r="C264" s="10"/>
      <c r="D264" s="4"/>
      <c r="E264" s="7"/>
      <c r="F264" s="7"/>
      <c r="G264" s="7"/>
    </row>
    <row r="265" spans="1:7" ht="15.75">
      <c r="A265" s="9"/>
      <c r="B265" s="9"/>
      <c r="C265" s="10"/>
      <c r="D265" s="4"/>
      <c r="E265" s="7"/>
      <c r="F265" s="7"/>
      <c r="G265" s="7"/>
    </row>
    <row r="266" spans="1:7" ht="15.75">
      <c r="A266" s="9"/>
      <c r="B266" s="9"/>
      <c r="C266" s="10"/>
      <c r="D266" s="4"/>
      <c r="E266" s="7"/>
      <c r="F266" s="7"/>
      <c r="G266" s="7"/>
    </row>
    <row r="267" spans="1:7" ht="15.75">
      <c r="A267" s="9"/>
      <c r="B267" s="9"/>
      <c r="C267" s="10"/>
      <c r="D267" s="4"/>
      <c r="E267" s="7"/>
      <c r="F267" s="7"/>
      <c r="G267" s="7"/>
    </row>
    <row r="268" spans="1:7" ht="15.75">
      <c r="A268" s="9"/>
      <c r="B268" s="9"/>
      <c r="C268" s="10"/>
      <c r="D268" s="4"/>
      <c r="E268" s="7"/>
      <c r="F268" s="7"/>
      <c r="G268" s="7"/>
    </row>
    <row r="269" spans="1:7" ht="15.75">
      <c r="A269" s="9"/>
      <c r="B269" s="9"/>
      <c r="C269" s="10"/>
      <c r="D269" s="4"/>
      <c r="E269" s="7"/>
      <c r="F269" s="7"/>
      <c r="G269" s="7"/>
    </row>
    <row r="270" spans="1:7" ht="15.75">
      <c r="A270" s="9"/>
      <c r="B270" s="9"/>
      <c r="C270" s="10"/>
      <c r="D270" s="4"/>
      <c r="E270" s="7"/>
      <c r="F270" s="7"/>
      <c r="G270" s="7"/>
    </row>
    <row r="271" spans="1:7" ht="15.75">
      <c r="A271" s="9"/>
      <c r="B271" s="9"/>
      <c r="C271" s="10"/>
      <c r="D271" s="4"/>
      <c r="E271" s="7"/>
      <c r="F271" s="7"/>
      <c r="G271" s="7"/>
    </row>
    <row r="272" spans="1:7" ht="15.75">
      <c r="A272" s="9"/>
      <c r="B272" s="9"/>
      <c r="C272" s="10"/>
      <c r="D272" s="4"/>
      <c r="E272" s="7"/>
      <c r="F272" s="7"/>
      <c r="G272" s="7"/>
    </row>
    <row r="273" spans="1:7" ht="15.75">
      <c r="A273" s="9"/>
      <c r="B273" s="9"/>
      <c r="C273" s="10"/>
      <c r="D273" s="4"/>
      <c r="E273" s="7"/>
      <c r="F273" s="7"/>
      <c r="G273" s="7"/>
    </row>
    <row r="274" spans="1:7" ht="15.75">
      <c r="A274" s="9"/>
      <c r="B274" s="9"/>
      <c r="C274" s="10"/>
      <c r="D274" s="4"/>
      <c r="E274" s="7"/>
      <c r="F274" s="7"/>
      <c r="G274" s="7"/>
    </row>
    <row r="275" spans="1:7" ht="15.75">
      <c r="A275" s="9"/>
      <c r="B275" s="9"/>
      <c r="C275" s="10"/>
      <c r="D275" s="4"/>
      <c r="E275" s="7"/>
      <c r="F275" s="7"/>
      <c r="G275" s="7"/>
    </row>
    <row r="276" spans="1:7" ht="15.75">
      <c r="A276" s="9"/>
      <c r="B276" s="9"/>
      <c r="C276" s="10"/>
      <c r="D276" s="4"/>
      <c r="E276" s="7"/>
      <c r="F276" s="7"/>
      <c r="G276" s="7"/>
    </row>
    <row r="277" spans="1:7" ht="15.75">
      <c r="A277" s="9"/>
      <c r="B277" s="9"/>
      <c r="C277" s="10"/>
      <c r="D277" s="4"/>
      <c r="E277" s="7"/>
      <c r="F277" s="7"/>
      <c r="G277" s="7"/>
    </row>
    <row r="278" spans="1:7" ht="15.75">
      <c r="A278" s="9"/>
      <c r="B278" s="9"/>
      <c r="C278" s="10"/>
      <c r="D278" s="4"/>
      <c r="E278" s="7"/>
      <c r="F278" s="7"/>
      <c r="G278" s="7"/>
    </row>
    <row r="279" spans="1:7" ht="15.75">
      <c r="A279" s="9"/>
      <c r="B279" s="9"/>
      <c r="C279" s="10"/>
      <c r="D279" s="4"/>
      <c r="E279" s="7"/>
      <c r="F279" s="7"/>
      <c r="G279" s="7"/>
    </row>
    <row r="280" spans="1:7" ht="15.75">
      <c r="A280" s="9"/>
      <c r="B280" s="9"/>
      <c r="C280" s="10"/>
      <c r="D280" s="4"/>
      <c r="E280" s="7"/>
      <c r="F280" s="7"/>
      <c r="G280" s="7"/>
    </row>
    <row r="281" spans="1:7" ht="15.75">
      <c r="A281" s="9"/>
      <c r="B281" s="9"/>
      <c r="C281" s="10"/>
      <c r="D281" s="4"/>
      <c r="E281" s="7"/>
      <c r="F281" s="7"/>
      <c r="G281" s="7"/>
    </row>
    <row r="282" spans="1:7" ht="15.75">
      <c r="A282" s="9"/>
      <c r="B282" s="9"/>
      <c r="C282" s="10"/>
      <c r="D282" s="4"/>
      <c r="E282" s="7"/>
      <c r="F282" s="7"/>
      <c r="G282" s="7"/>
    </row>
    <row r="283" spans="1:7" ht="15.75">
      <c r="A283" s="9"/>
      <c r="B283" s="9"/>
      <c r="C283" s="10"/>
      <c r="D283" s="4"/>
      <c r="E283" s="7"/>
      <c r="F283" s="7"/>
      <c r="G283" s="7"/>
    </row>
    <row r="284" spans="1:7" ht="15.75">
      <c r="A284" s="9"/>
      <c r="B284" s="9"/>
      <c r="C284" s="10"/>
      <c r="D284" s="4"/>
      <c r="E284" s="7"/>
      <c r="F284" s="7"/>
      <c r="G284" s="7"/>
    </row>
    <row r="285" spans="1:7" ht="15.75">
      <c r="A285" s="9"/>
      <c r="B285" s="9"/>
      <c r="C285" s="2"/>
      <c r="D285" s="4"/>
      <c r="E285" s="7"/>
      <c r="F285" s="7"/>
      <c r="G285" s="7"/>
    </row>
    <row r="286" spans="3:7" ht="12.75">
      <c r="C286" s="2"/>
      <c r="D286" s="4"/>
      <c r="E286" s="7"/>
      <c r="F286" s="7"/>
      <c r="G286" s="7"/>
    </row>
    <row r="287" spans="3:7" ht="12.75">
      <c r="C287" s="2"/>
      <c r="D287" s="4"/>
      <c r="E287" s="7"/>
      <c r="F287" s="7"/>
      <c r="G287" s="7"/>
    </row>
    <row r="288" spans="3:7" ht="12.75">
      <c r="C288" s="2"/>
      <c r="D288" s="4"/>
      <c r="E288" s="7"/>
      <c r="F288" s="7"/>
      <c r="G288" s="7"/>
    </row>
    <row r="289" spans="3:7" ht="12.75">
      <c r="C289" s="2"/>
      <c r="D289" s="4"/>
      <c r="E289" s="7"/>
      <c r="F289" s="7"/>
      <c r="G289" s="7"/>
    </row>
    <row r="290" spans="3:7" ht="12.75">
      <c r="C290" s="2"/>
      <c r="D290" s="4"/>
      <c r="E290" s="7"/>
      <c r="F290" s="7"/>
      <c r="G290" s="7"/>
    </row>
    <row r="291" spans="3:7" ht="12.75">
      <c r="C291" s="2"/>
      <c r="D291" s="4"/>
      <c r="E291" s="7"/>
      <c r="F291" s="7"/>
      <c r="G291" s="7"/>
    </row>
    <row r="292" spans="3:7" ht="12.75">
      <c r="C292" s="2"/>
      <c r="D292" s="4"/>
      <c r="E292" s="7"/>
      <c r="F292" s="7"/>
      <c r="G292" s="7"/>
    </row>
    <row r="293" spans="3:7" ht="12.75">
      <c r="C293" s="2"/>
      <c r="D293" s="4"/>
      <c r="E293" s="7"/>
      <c r="F293" s="7"/>
      <c r="G293" s="7"/>
    </row>
    <row r="294" spans="3:7" ht="12.75">
      <c r="C294" s="2"/>
      <c r="D294" s="4"/>
      <c r="E294" s="7"/>
      <c r="F294" s="7"/>
      <c r="G294" s="7"/>
    </row>
    <row r="295" spans="3:7" ht="12.75">
      <c r="C295" s="2"/>
      <c r="D295" s="4"/>
      <c r="E295" s="7"/>
      <c r="F295" s="7"/>
      <c r="G295" s="7"/>
    </row>
    <row r="296" spans="3:7" ht="12.75">
      <c r="C296" s="2"/>
      <c r="D296" s="4"/>
      <c r="E296" s="7"/>
      <c r="F296" s="7"/>
      <c r="G296" s="7"/>
    </row>
    <row r="297" spans="3:7" ht="12.75">
      <c r="C297" s="2"/>
      <c r="D297" s="4"/>
      <c r="E297" s="7"/>
      <c r="F297" s="7"/>
      <c r="G297" s="7"/>
    </row>
    <row r="298" spans="3:7" ht="12.75">
      <c r="C298" s="2"/>
      <c r="D298" s="4"/>
      <c r="E298" s="7"/>
      <c r="F298" s="7"/>
      <c r="G298" s="7"/>
    </row>
    <row r="299" spans="3:7" ht="12.75">
      <c r="C299" s="2"/>
      <c r="D299" s="4"/>
      <c r="E299" s="7"/>
      <c r="F299" s="7"/>
      <c r="G299" s="7"/>
    </row>
    <row r="300" spans="3:7" ht="12.75">
      <c r="C300" s="2"/>
      <c r="D300" s="4"/>
      <c r="E300" s="7"/>
      <c r="F300" s="7"/>
      <c r="G300" s="7"/>
    </row>
    <row r="301" spans="3:7" ht="12.75">
      <c r="C301" s="2"/>
      <c r="D301" s="4"/>
      <c r="E301" s="7"/>
      <c r="F301" s="7"/>
      <c r="G301" s="7"/>
    </row>
    <row r="302" spans="3:7" ht="12.75">
      <c r="C302" s="2"/>
      <c r="D302" s="4"/>
      <c r="E302" s="7"/>
      <c r="F302" s="7"/>
      <c r="G302" s="7"/>
    </row>
    <row r="303" spans="3:7" ht="12.75">
      <c r="C303" s="2"/>
      <c r="D303" s="4"/>
      <c r="E303" s="7"/>
      <c r="F303" s="7"/>
      <c r="G303" s="7"/>
    </row>
    <row r="304" spans="3:7" ht="12.75">
      <c r="C304" s="2"/>
      <c r="D304" s="4"/>
      <c r="E304" s="7"/>
      <c r="F304" s="7"/>
      <c r="G304" s="7"/>
    </row>
    <row r="305" spans="3:7" ht="12.75">
      <c r="C305" s="2"/>
      <c r="D305" s="4"/>
      <c r="E305" s="7"/>
      <c r="F305" s="7"/>
      <c r="G305" s="7"/>
    </row>
    <row r="306" spans="3:7" ht="12.75">
      <c r="C306" s="2"/>
      <c r="D306" s="4"/>
      <c r="E306" s="7"/>
      <c r="F306" s="7"/>
      <c r="G306" s="7"/>
    </row>
    <row r="307" spans="3:7" ht="12.75">
      <c r="C307" s="2"/>
      <c r="D307" s="4"/>
      <c r="E307" s="7"/>
      <c r="F307" s="7"/>
      <c r="G307" s="7"/>
    </row>
    <row r="308" spans="3:7" ht="12.75">
      <c r="C308" s="2"/>
      <c r="D308" s="4"/>
      <c r="E308" s="7"/>
      <c r="F308" s="7"/>
      <c r="G308" s="7"/>
    </row>
    <row r="309" spans="3:7" ht="12.75">
      <c r="C309" s="2"/>
      <c r="D309" s="4"/>
      <c r="E309" s="7"/>
      <c r="F309" s="7"/>
      <c r="G309" s="7"/>
    </row>
    <row r="310" spans="3:7" ht="12.75">
      <c r="C310" s="2"/>
      <c r="D310" s="4"/>
      <c r="E310" s="7"/>
      <c r="F310" s="7"/>
      <c r="G310" s="7"/>
    </row>
    <row r="311" spans="3:7" ht="12.75">
      <c r="C311" s="2"/>
      <c r="D311" s="4"/>
      <c r="E311" s="7"/>
      <c r="F311" s="7"/>
      <c r="G311" s="7"/>
    </row>
    <row r="312" spans="3:7" ht="12.75">
      <c r="C312" s="2"/>
      <c r="D312" s="4"/>
      <c r="E312" s="7"/>
      <c r="F312" s="7"/>
      <c r="G312" s="7"/>
    </row>
    <row r="313" spans="3:7" ht="12.75">
      <c r="C313" s="2"/>
      <c r="D313" s="4"/>
      <c r="E313" s="7"/>
      <c r="F313" s="7"/>
      <c r="G313" s="7"/>
    </row>
    <row r="314" spans="3:7" ht="12.75">
      <c r="C314" s="2"/>
      <c r="D314" s="4"/>
      <c r="E314" s="7"/>
      <c r="F314" s="7"/>
      <c r="G314" s="7"/>
    </row>
    <row r="315" spans="3:7" ht="12.75">
      <c r="C315" s="2"/>
      <c r="D315" s="4"/>
      <c r="E315" s="7"/>
      <c r="F315" s="7"/>
      <c r="G315" s="7"/>
    </row>
    <row r="316" spans="3:7" ht="12.75">
      <c r="C316" s="2"/>
      <c r="D316" s="4"/>
      <c r="E316" s="7"/>
      <c r="F316" s="7"/>
      <c r="G316" s="7"/>
    </row>
    <row r="317" spans="3:7" ht="12.75">
      <c r="C317" s="2"/>
      <c r="D317" s="4"/>
      <c r="E317" s="7"/>
      <c r="F317" s="7"/>
      <c r="G317" s="7"/>
    </row>
    <row r="318" spans="3:7" ht="12.75">
      <c r="C318" s="2"/>
      <c r="D318" s="4"/>
      <c r="E318" s="7"/>
      <c r="F318" s="7"/>
      <c r="G318" s="7"/>
    </row>
    <row r="319" spans="3:7" ht="12.75">
      <c r="C319" s="2"/>
      <c r="D319" s="4"/>
      <c r="E319" s="7"/>
      <c r="F319" s="7"/>
      <c r="G319" s="7"/>
    </row>
    <row r="320" spans="3:7" ht="12.75">
      <c r="C320" s="2"/>
      <c r="D320" s="4"/>
      <c r="E320" s="7"/>
      <c r="F320" s="7"/>
      <c r="G320" s="7"/>
    </row>
    <row r="321" spans="3:7" ht="12.75">
      <c r="C321" s="2"/>
      <c r="D321" s="4"/>
      <c r="E321" s="7"/>
      <c r="F321" s="7"/>
      <c r="G321" s="7"/>
    </row>
    <row r="322" spans="3:7" ht="12.75">
      <c r="C322" s="2"/>
      <c r="D322" s="4"/>
      <c r="E322" s="7"/>
      <c r="F322" s="7"/>
      <c r="G322" s="7"/>
    </row>
    <row r="323" spans="3:7" ht="12.75">
      <c r="C323" s="2"/>
      <c r="D323" s="4"/>
      <c r="E323" s="7"/>
      <c r="F323" s="7"/>
      <c r="G323" s="7"/>
    </row>
    <row r="324" spans="3:7" ht="12.75">
      <c r="C324" s="2"/>
      <c r="D324" s="4"/>
      <c r="E324" s="7"/>
      <c r="F324" s="7"/>
      <c r="G324" s="7"/>
    </row>
    <row r="325" spans="3:7" ht="12.75">
      <c r="C325" s="2"/>
      <c r="D325" s="4"/>
      <c r="E325" s="7"/>
      <c r="F325" s="7"/>
      <c r="G325" s="7"/>
    </row>
    <row r="326" spans="3:7" ht="12.75">
      <c r="C326" s="2"/>
      <c r="D326" s="4"/>
      <c r="E326" s="7"/>
      <c r="F326" s="7"/>
      <c r="G326" s="7"/>
    </row>
    <row r="327" spans="3:7" ht="12.75">
      <c r="C327" s="2"/>
      <c r="D327" s="4"/>
      <c r="E327" s="7"/>
      <c r="F327" s="7"/>
      <c r="G327" s="7"/>
    </row>
    <row r="328" spans="3:7" ht="12.75">
      <c r="C328" s="2"/>
      <c r="D328" s="4"/>
      <c r="E328" s="7"/>
      <c r="F328" s="7"/>
      <c r="G328" s="7"/>
    </row>
    <row r="329" spans="3:7" ht="12.75">
      <c r="C329" s="2"/>
      <c r="D329" s="4"/>
      <c r="E329" s="7"/>
      <c r="F329" s="7"/>
      <c r="G329" s="7"/>
    </row>
    <row r="330" spans="3:7" ht="12.75">
      <c r="C330" s="2"/>
      <c r="D330" s="4"/>
      <c r="E330" s="7"/>
      <c r="F330" s="7"/>
      <c r="G330" s="7"/>
    </row>
    <row r="331" spans="3:7" ht="12.75">
      <c r="C331" s="2"/>
      <c r="D331" s="4"/>
      <c r="E331" s="7"/>
      <c r="F331" s="7"/>
      <c r="G331" s="7"/>
    </row>
    <row r="332" spans="3:7" ht="12.75">
      <c r="C332" s="2"/>
      <c r="D332" s="4"/>
      <c r="E332" s="7"/>
      <c r="F332" s="7"/>
      <c r="G332" s="7"/>
    </row>
    <row r="333" spans="3:7" ht="12.75">
      <c r="C333" s="2"/>
      <c r="D333" s="4"/>
      <c r="E333" s="7"/>
      <c r="F333" s="7"/>
      <c r="G333" s="7"/>
    </row>
    <row r="334" spans="3:7" ht="12.75">
      <c r="C334" s="2"/>
      <c r="D334" s="4"/>
      <c r="E334" s="7"/>
      <c r="F334" s="7"/>
      <c r="G334" s="7"/>
    </row>
    <row r="335" spans="3:7" ht="12.75">
      <c r="C335" s="2"/>
      <c r="D335" s="4"/>
      <c r="E335" s="7"/>
      <c r="F335" s="7"/>
      <c r="G335" s="7"/>
    </row>
    <row r="336" spans="3:7" ht="12.75">
      <c r="C336" s="2"/>
      <c r="D336" s="4"/>
      <c r="E336" s="7"/>
      <c r="F336" s="7"/>
      <c r="G336" s="7"/>
    </row>
    <row r="337" spans="3:7" ht="12.75">
      <c r="C337" s="2"/>
      <c r="D337" s="4"/>
      <c r="E337" s="7"/>
      <c r="F337" s="7"/>
      <c r="G337" s="7"/>
    </row>
    <row r="338" spans="3:7" ht="12.75">
      <c r="C338" s="2"/>
      <c r="D338" s="4"/>
      <c r="E338" s="7"/>
      <c r="F338" s="7"/>
      <c r="G338" s="7"/>
    </row>
    <row r="339" spans="3:7" ht="12.75">
      <c r="C339" s="2"/>
      <c r="D339" s="4"/>
      <c r="E339" s="7"/>
      <c r="F339" s="7"/>
      <c r="G339" s="7"/>
    </row>
    <row r="340" spans="3:7" ht="12.75">
      <c r="C340" s="2"/>
      <c r="D340" s="4"/>
      <c r="E340" s="7"/>
      <c r="F340" s="7"/>
      <c r="G340" s="7"/>
    </row>
    <row r="341" spans="3:7" ht="12.75">
      <c r="C341" s="2"/>
      <c r="D341" s="4"/>
      <c r="E341" s="7"/>
      <c r="F341" s="7"/>
      <c r="G341" s="7"/>
    </row>
    <row r="342" spans="3:7" ht="12.75">
      <c r="C342" s="2"/>
      <c r="D342" s="4"/>
      <c r="E342" s="7"/>
      <c r="F342" s="7"/>
      <c r="G342" s="7"/>
    </row>
    <row r="343" spans="3:7" ht="12.75">
      <c r="C343" s="2"/>
      <c r="D343" s="4"/>
      <c r="E343" s="7"/>
      <c r="F343" s="7"/>
      <c r="G343" s="7"/>
    </row>
    <row r="344" spans="3:7" ht="12.75">
      <c r="C344" s="2"/>
      <c r="D344" s="4"/>
      <c r="E344" s="7"/>
      <c r="F344" s="7"/>
      <c r="G344" s="7"/>
    </row>
    <row r="345" spans="3:7" ht="12.75">
      <c r="C345" s="2"/>
      <c r="D345" s="4"/>
      <c r="E345" s="7"/>
      <c r="F345" s="7"/>
      <c r="G345" s="7"/>
    </row>
    <row r="346" spans="3:7" ht="12.75">
      <c r="C346" s="2"/>
      <c r="D346" s="4"/>
      <c r="E346" s="7"/>
      <c r="F346" s="7"/>
      <c r="G346" s="7"/>
    </row>
    <row r="347" spans="3:7" ht="12.75">
      <c r="C347" s="2"/>
      <c r="D347" s="4"/>
      <c r="E347" s="7"/>
      <c r="F347" s="7"/>
      <c r="G347" s="7"/>
    </row>
    <row r="348" spans="3:7" ht="12.75">
      <c r="C348" s="2"/>
      <c r="D348" s="4"/>
      <c r="E348" s="7"/>
      <c r="F348" s="7"/>
      <c r="G348" s="7"/>
    </row>
    <row r="349" spans="3:7" ht="12.75">
      <c r="C349" s="2"/>
      <c r="D349" s="4"/>
      <c r="E349" s="7"/>
      <c r="F349" s="7"/>
      <c r="G349" s="7"/>
    </row>
    <row r="350" spans="3:7" ht="12.75">
      <c r="C350" s="2"/>
      <c r="D350" s="4"/>
      <c r="E350" s="7"/>
      <c r="F350" s="7"/>
      <c r="G350" s="7"/>
    </row>
    <row r="351" spans="3:7" ht="12.75">
      <c r="C351" s="2"/>
      <c r="D351" s="4"/>
      <c r="E351" s="7"/>
      <c r="F351" s="7"/>
      <c r="G351" s="7"/>
    </row>
    <row r="352" spans="3:7" ht="12.75">
      <c r="C352" s="2"/>
      <c r="D352" s="4"/>
      <c r="E352" s="7"/>
      <c r="F352" s="7"/>
      <c r="G352" s="7"/>
    </row>
    <row r="353" spans="3:7" ht="12.75">
      <c r="C353" s="2"/>
      <c r="D353" s="4"/>
      <c r="E353" s="7"/>
      <c r="F353" s="7"/>
      <c r="G353" s="7"/>
    </row>
    <row r="354" spans="3:7" ht="12.75">
      <c r="C354" s="2"/>
      <c r="D354" s="4"/>
      <c r="E354" s="7"/>
      <c r="F354" s="7"/>
      <c r="G354" s="7"/>
    </row>
    <row r="355" spans="3:4" ht="12.75">
      <c r="C355" s="2"/>
      <c r="D355" s="4"/>
    </row>
    <row r="356" spans="3:4" ht="12.75">
      <c r="C356" s="2"/>
      <c r="D356" s="4"/>
    </row>
    <row r="357" spans="3:4" ht="12.75">
      <c r="C357" s="2"/>
      <c r="D357" s="4"/>
    </row>
    <row r="358" spans="3:4" ht="12.75">
      <c r="C358" s="2"/>
      <c r="D358" s="4"/>
    </row>
    <row r="359" spans="3:4" ht="12.75">
      <c r="C359" s="2"/>
      <c r="D359" s="4"/>
    </row>
    <row r="360" spans="3:4" ht="12.75">
      <c r="C360" s="2"/>
      <c r="D360" s="4"/>
    </row>
    <row r="361" spans="3:4" ht="12.75">
      <c r="C361" s="2"/>
      <c r="D361" s="4"/>
    </row>
    <row r="362" spans="3:4" ht="12.75">
      <c r="C362" s="2"/>
      <c r="D362" s="4"/>
    </row>
    <row r="363" spans="3:4" ht="12.75">
      <c r="C363" s="2"/>
      <c r="D363" s="4"/>
    </row>
    <row r="364" spans="3:4" ht="12.75">
      <c r="C364" s="2"/>
      <c r="D364" s="4"/>
    </row>
    <row r="365" spans="3:4" ht="12.75">
      <c r="C365" s="2"/>
      <c r="D365" s="4"/>
    </row>
    <row r="366" spans="3:4" ht="12.75">
      <c r="C366" s="2"/>
      <c r="D366" s="4"/>
    </row>
    <row r="367" spans="3:4" ht="12.75">
      <c r="C367" s="2"/>
      <c r="D367" s="4"/>
    </row>
    <row r="368" spans="3:4" ht="12.75">
      <c r="C368" s="2"/>
      <c r="D368" s="4"/>
    </row>
    <row r="369" spans="3:4" ht="12.75">
      <c r="C369" s="2"/>
      <c r="D369" s="4"/>
    </row>
    <row r="370" spans="3:4" ht="12.75">
      <c r="C370" s="2"/>
      <c r="D370" s="4"/>
    </row>
    <row r="371" spans="3:4" ht="12.75">
      <c r="C371" s="2"/>
      <c r="D371" s="4"/>
    </row>
    <row r="372" spans="3:4" ht="12.75">
      <c r="C372" s="2"/>
      <c r="D372" s="4"/>
    </row>
    <row r="373" spans="3:4" ht="12.75">
      <c r="C373" s="2"/>
      <c r="D373" s="4"/>
    </row>
    <row r="374" spans="3:4" ht="12.75">
      <c r="C374" s="2"/>
      <c r="D374" s="4"/>
    </row>
    <row r="375" spans="3:4" ht="12.75">
      <c r="C375" s="2"/>
      <c r="D375" s="4"/>
    </row>
    <row r="376" spans="3:4" ht="12.75">
      <c r="C376" s="2"/>
      <c r="D376" s="4"/>
    </row>
    <row r="377" spans="3:4" ht="12.75">
      <c r="C377" s="2"/>
      <c r="D377" s="4"/>
    </row>
    <row r="378" spans="3:4" ht="12.75">
      <c r="C378" s="2"/>
      <c r="D378" s="4"/>
    </row>
    <row r="379" spans="3:4" ht="12.75">
      <c r="C379" s="2"/>
      <c r="D379" s="4"/>
    </row>
    <row r="380" spans="3:4" ht="12.75">
      <c r="C380" s="2"/>
      <c r="D380" s="4"/>
    </row>
    <row r="381" spans="3:4" ht="12.75">
      <c r="C381" s="2"/>
      <c r="D381" s="4"/>
    </row>
    <row r="382" spans="3:4" ht="12.75">
      <c r="C382" s="2"/>
      <c r="D382" s="4"/>
    </row>
    <row r="383" spans="3:4" ht="12.75">
      <c r="C383" s="2"/>
      <c r="D383" s="4"/>
    </row>
    <row r="384" spans="3:4" ht="12.75">
      <c r="C384" s="2"/>
      <c r="D384" s="4"/>
    </row>
    <row r="385" spans="3:4" ht="12.75">
      <c r="C385" s="2"/>
      <c r="D385" s="4"/>
    </row>
    <row r="386" spans="3:4" ht="12.75">
      <c r="C386" s="2"/>
      <c r="D386" s="4"/>
    </row>
    <row r="387" spans="3:4" ht="12.75">
      <c r="C387" s="2"/>
      <c r="D387" s="4"/>
    </row>
    <row r="388" spans="3:4" ht="12.75">
      <c r="C388" s="2"/>
      <c r="D388" s="4"/>
    </row>
    <row r="389" spans="3:4" ht="12.75">
      <c r="C389" s="2"/>
      <c r="D389" s="4"/>
    </row>
    <row r="390" spans="3:4" ht="12.75">
      <c r="C390" s="2"/>
      <c r="D390" s="4"/>
    </row>
    <row r="391" spans="3:4" ht="12.75">
      <c r="C391" s="2"/>
      <c r="D391" s="4"/>
    </row>
    <row r="392" spans="3:4" ht="12.75">
      <c r="C392" s="2"/>
      <c r="D392" s="4"/>
    </row>
    <row r="393" spans="3:4" ht="12.75">
      <c r="C393" s="2"/>
      <c r="D393" s="4"/>
    </row>
    <row r="394" spans="3:4" ht="12.75">
      <c r="C394" s="2"/>
      <c r="D394" s="4"/>
    </row>
    <row r="395" spans="3:4" ht="12.75">
      <c r="C395" s="2"/>
      <c r="D395" s="4"/>
    </row>
    <row r="396" spans="3:4" ht="12.75">
      <c r="C396" s="2"/>
      <c r="D396" s="4"/>
    </row>
    <row r="397" spans="3:4" ht="12.75">
      <c r="C397" s="2"/>
      <c r="D397" s="4"/>
    </row>
    <row r="398" spans="3:4" ht="12.75">
      <c r="C398" s="2"/>
      <c r="D398" s="4"/>
    </row>
    <row r="399" spans="3:4" ht="12.75">
      <c r="C399" s="2"/>
      <c r="D399" s="4"/>
    </row>
    <row r="400" spans="3:4" ht="12.75">
      <c r="C400" s="2"/>
      <c r="D400" s="4"/>
    </row>
    <row r="401" spans="3:4" ht="12.75">
      <c r="C401" s="2"/>
      <c r="D401" s="4"/>
    </row>
    <row r="402" spans="3:4" ht="12.75">
      <c r="C402" s="2"/>
      <c r="D402" s="4"/>
    </row>
    <row r="403" spans="3:4" ht="12.75">
      <c r="C403" s="2"/>
      <c r="D403" s="4"/>
    </row>
    <row r="404" spans="3:4" ht="12.75">
      <c r="C404" s="2"/>
      <c r="D404" s="4"/>
    </row>
    <row r="405" spans="3:4" ht="12.75">
      <c r="C405" s="2"/>
      <c r="D405" s="4"/>
    </row>
    <row r="406" spans="3:4" ht="12.75">
      <c r="C406" s="2"/>
      <c r="D406" s="4"/>
    </row>
    <row r="407" spans="3:4" ht="12.75">
      <c r="C407" s="2"/>
      <c r="D407" s="4"/>
    </row>
    <row r="408" spans="3:4" ht="12.75">
      <c r="C408" s="2"/>
      <c r="D408" s="4"/>
    </row>
    <row r="409" spans="3:4" ht="12.75">
      <c r="C409" s="2"/>
      <c r="D409" s="4"/>
    </row>
    <row r="410" spans="3:4" ht="12.75">
      <c r="C410" s="2"/>
      <c r="D410" s="4"/>
    </row>
    <row r="411" spans="3:4" ht="12.75">
      <c r="C411" s="2"/>
      <c r="D411" s="4"/>
    </row>
    <row r="412" spans="3:4" ht="12.75">
      <c r="C412" s="2"/>
      <c r="D412" s="4"/>
    </row>
    <row r="413" spans="3:4" ht="12.75">
      <c r="C413" s="2"/>
      <c r="D413" s="4"/>
    </row>
    <row r="414" spans="3:4" ht="12.75">
      <c r="C414" s="2"/>
      <c r="D414" s="4"/>
    </row>
    <row r="415" spans="3:4" ht="12.75">
      <c r="C415" s="2"/>
      <c r="D415" s="4"/>
    </row>
    <row r="416" spans="3:4" ht="12.75">
      <c r="C416" s="2"/>
      <c r="D416" s="4"/>
    </row>
    <row r="417" spans="3:4" ht="12.75">
      <c r="C417" s="2"/>
      <c r="D417" s="4"/>
    </row>
    <row r="418" spans="3:4" ht="12.75">
      <c r="C418" s="2"/>
      <c r="D418" s="4"/>
    </row>
    <row r="419" spans="3:4" ht="12.75">
      <c r="C419" s="2"/>
      <c r="D419" s="4"/>
    </row>
    <row r="420" spans="3:4" ht="12.75">
      <c r="C420" s="2"/>
      <c r="D420" s="4"/>
    </row>
    <row r="421" spans="3:4" ht="12.75">
      <c r="C421" s="2"/>
      <c r="D421" s="4"/>
    </row>
    <row r="422" spans="3:4" ht="12.75">
      <c r="C422" s="2"/>
      <c r="D422" s="4"/>
    </row>
    <row r="423" spans="3:4" ht="12.75">
      <c r="C423" s="2"/>
      <c r="D423" s="4"/>
    </row>
    <row r="424" spans="3:4" ht="12.75">
      <c r="C424" s="2"/>
      <c r="D424" s="4"/>
    </row>
    <row r="425" spans="3:4" ht="12.75">
      <c r="C425" s="2"/>
      <c r="D425" s="4"/>
    </row>
    <row r="426" spans="3:4" ht="12.75">
      <c r="C426" s="2"/>
      <c r="D426" s="4"/>
    </row>
    <row r="427" spans="3:4" ht="12.75">
      <c r="C427" s="2"/>
      <c r="D427" s="4"/>
    </row>
    <row r="428" spans="3:4" ht="12.75">
      <c r="C428" s="2"/>
      <c r="D428" s="4"/>
    </row>
    <row r="429" spans="3:4" ht="12.75">
      <c r="C429" s="2"/>
      <c r="D429" s="4"/>
    </row>
    <row r="430" spans="3:4" ht="12.75">
      <c r="C430" s="2"/>
      <c r="D430" s="4"/>
    </row>
    <row r="431" spans="3:4" ht="12.75">
      <c r="C431" s="2"/>
      <c r="D431" s="4"/>
    </row>
    <row r="432" spans="3:4" ht="12.75">
      <c r="C432" s="2"/>
      <c r="D432" s="4"/>
    </row>
    <row r="433" spans="3:4" ht="12.75">
      <c r="C433" s="2"/>
      <c r="D433" s="4"/>
    </row>
    <row r="434" spans="3:4" ht="12.75">
      <c r="C434" s="2"/>
      <c r="D434" s="4"/>
    </row>
    <row r="435" spans="3:4" ht="12.75">
      <c r="C435" s="2"/>
      <c r="D435" s="4"/>
    </row>
    <row r="436" spans="3:4" ht="12.75">
      <c r="C436" s="2"/>
      <c r="D436" s="4"/>
    </row>
    <row r="437" spans="3:4" ht="12.75">
      <c r="C437" s="2"/>
      <c r="D437" s="4"/>
    </row>
    <row r="438" spans="3:4" ht="12.75">
      <c r="C438" s="2"/>
      <c r="D438" s="4"/>
    </row>
    <row r="439" spans="3:4" ht="12.75">
      <c r="C439" s="2"/>
      <c r="D439" s="4"/>
    </row>
    <row r="440" spans="3:4" ht="12.75">
      <c r="C440" s="2"/>
      <c r="D440" s="4"/>
    </row>
    <row r="441" spans="3:4" ht="12.75">
      <c r="C441" s="2"/>
      <c r="D441" s="4"/>
    </row>
    <row r="442" spans="3:4" ht="12.75">
      <c r="C442" s="2"/>
      <c r="D442" s="4"/>
    </row>
    <row r="443" spans="3:4" ht="12.75">
      <c r="C443" s="2"/>
      <c r="D443" s="4"/>
    </row>
    <row r="444" spans="3:4" ht="12.75">
      <c r="C444" s="2"/>
      <c r="D444" s="4"/>
    </row>
    <row r="445" spans="3:4" ht="12.75">
      <c r="C445" s="2"/>
      <c r="D445" s="4"/>
    </row>
    <row r="446" spans="3:4" ht="12.75">
      <c r="C446" s="2"/>
      <c r="D446" s="4"/>
    </row>
    <row r="447" spans="3:4" ht="12.75">
      <c r="C447" s="2"/>
      <c r="D447" s="4"/>
    </row>
    <row r="448" spans="3:4" ht="12.75">
      <c r="C448" s="2"/>
      <c r="D448" s="4"/>
    </row>
    <row r="449" spans="3:4" ht="12.75">
      <c r="C449" s="2"/>
      <c r="D449" s="4"/>
    </row>
    <row r="450" spans="3:4" ht="12.75">
      <c r="C450" s="2"/>
      <c r="D450" s="4"/>
    </row>
    <row r="451" spans="3:4" ht="12.75">
      <c r="C451" s="2"/>
      <c r="D451" s="4"/>
    </row>
    <row r="452" spans="3:4" ht="12.75">
      <c r="C452" s="2"/>
      <c r="D452" s="4"/>
    </row>
    <row r="453" spans="3:4" ht="12.75">
      <c r="C453" s="2"/>
      <c r="D453" s="4"/>
    </row>
    <row r="454" spans="3:4" ht="12.75">
      <c r="C454" s="2"/>
      <c r="D454" s="4"/>
    </row>
    <row r="455" spans="3:4" ht="12.75">
      <c r="C455" s="2"/>
      <c r="D455" s="4"/>
    </row>
    <row r="456" spans="3:4" ht="12.75">
      <c r="C456" s="2"/>
      <c r="D456" s="4"/>
    </row>
    <row r="457" spans="3:4" ht="12.75">
      <c r="C457" s="2"/>
      <c r="D457" s="4"/>
    </row>
    <row r="458" spans="3:4" ht="12.75">
      <c r="C458" s="2"/>
      <c r="D458" s="4"/>
    </row>
    <row r="459" spans="3:4" ht="12.75">
      <c r="C459" s="2"/>
      <c r="D459" s="4"/>
    </row>
    <row r="460" spans="3:4" ht="12.75">
      <c r="C460" s="2"/>
      <c r="D460" s="4"/>
    </row>
    <row r="461" spans="3:4" ht="12.75">
      <c r="C461" s="2"/>
      <c r="D461" s="4"/>
    </row>
    <row r="462" spans="3:4" ht="12.75">
      <c r="C462" s="2"/>
      <c r="D462" s="4"/>
    </row>
    <row r="463" ht="12.75">
      <c r="C463" s="2"/>
    </row>
    <row r="464" ht="12.75">
      <c r="C464" s="2"/>
    </row>
    <row r="465" ht="12.75">
      <c r="C465" s="2"/>
    </row>
    <row r="466" ht="12.75">
      <c r="C466" s="2"/>
    </row>
    <row r="467" ht="12.75">
      <c r="C467" s="2"/>
    </row>
    <row r="468" ht="12.75">
      <c r="C468" s="2"/>
    </row>
    <row r="469" ht="12.75">
      <c r="C469" s="2"/>
    </row>
    <row r="470" ht="12.75">
      <c r="C470" s="2"/>
    </row>
    <row r="471" ht="12.75">
      <c r="C471" s="2"/>
    </row>
    <row r="472" ht="12.75">
      <c r="C472" s="2"/>
    </row>
    <row r="473" ht="12.75">
      <c r="C473" s="2"/>
    </row>
    <row r="474" ht="12.75">
      <c r="C474" s="2"/>
    </row>
    <row r="475" ht="12.75">
      <c r="C475" s="2"/>
    </row>
    <row r="476" ht="12.75">
      <c r="C476" s="2"/>
    </row>
    <row r="477" ht="12.75">
      <c r="C477" s="2"/>
    </row>
    <row r="478" ht="12.75">
      <c r="C478" s="2"/>
    </row>
    <row r="479" ht="12.75">
      <c r="C479" s="2"/>
    </row>
    <row r="480" ht="12.75">
      <c r="C480" s="2"/>
    </row>
    <row r="481" ht="12.75">
      <c r="C481" s="2"/>
    </row>
    <row r="482" ht="12.75">
      <c r="C482" s="2"/>
    </row>
    <row r="483" ht="12.75">
      <c r="C483" s="2"/>
    </row>
    <row r="484" ht="12.75">
      <c r="C484" s="2"/>
    </row>
    <row r="485" ht="12.75">
      <c r="C485" s="2"/>
    </row>
    <row r="486" ht="12.75">
      <c r="C486" s="2"/>
    </row>
    <row r="487" ht="12.75">
      <c r="C487" s="2"/>
    </row>
    <row r="488" ht="12.75">
      <c r="C488" s="2"/>
    </row>
    <row r="489" ht="12.75">
      <c r="C489" s="2"/>
    </row>
    <row r="490" ht="12.75">
      <c r="C490" s="2"/>
    </row>
    <row r="491" ht="12.75">
      <c r="C491" s="2"/>
    </row>
    <row r="492" ht="12.75">
      <c r="C492" s="2"/>
    </row>
    <row r="493" ht="12.75">
      <c r="C493" s="2"/>
    </row>
    <row r="494" ht="12.75">
      <c r="C494" s="2"/>
    </row>
    <row r="495" ht="12.75">
      <c r="C495" s="2"/>
    </row>
    <row r="496" ht="12.75">
      <c r="C496" s="2"/>
    </row>
    <row r="497" ht="12.75">
      <c r="C497" s="2"/>
    </row>
    <row r="498" ht="12.75">
      <c r="C498" s="2"/>
    </row>
    <row r="499" ht="12.75">
      <c r="C499" s="2"/>
    </row>
    <row r="500" ht="12.75">
      <c r="C500" s="2"/>
    </row>
    <row r="501" ht="12.75">
      <c r="C501" s="2"/>
    </row>
    <row r="502" ht="12.75">
      <c r="C502" s="2"/>
    </row>
    <row r="503" ht="12.75">
      <c r="C503" s="2"/>
    </row>
    <row r="504" ht="12.75">
      <c r="C504" s="2"/>
    </row>
    <row r="505" ht="12.75">
      <c r="C505" s="2"/>
    </row>
    <row r="506" ht="12.75">
      <c r="C506" s="2"/>
    </row>
    <row r="507" ht="12.75">
      <c r="C507" s="2"/>
    </row>
    <row r="508" ht="12.75">
      <c r="C508" s="2"/>
    </row>
    <row r="509" ht="12.75">
      <c r="C509" s="2"/>
    </row>
    <row r="510" ht="12.75">
      <c r="C510" s="2"/>
    </row>
    <row r="511" ht="12.75">
      <c r="C511" s="2"/>
    </row>
    <row r="512" ht="12.75">
      <c r="C512" s="2"/>
    </row>
    <row r="513" ht="12.75">
      <c r="C513" s="2"/>
    </row>
    <row r="514" ht="12.75">
      <c r="C514" s="2"/>
    </row>
    <row r="515" ht="12.75">
      <c r="C515" s="2"/>
    </row>
    <row r="516" ht="12.75">
      <c r="C516" s="2"/>
    </row>
    <row r="517" ht="12.75">
      <c r="C517" s="2"/>
    </row>
    <row r="518" ht="12.75">
      <c r="C518" s="2"/>
    </row>
    <row r="519" ht="12.75">
      <c r="C519" s="2"/>
    </row>
    <row r="520" ht="12.75">
      <c r="C520" s="2"/>
    </row>
    <row r="521" ht="12.75">
      <c r="C521" s="2"/>
    </row>
    <row r="522" ht="12.75">
      <c r="C522" s="2"/>
    </row>
    <row r="523" ht="12.75">
      <c r="C523" s="2"/>
    </row>
    <row r="524" ht="12.75">
      <c r="C524" s="2"/>
    </row>
    <row r="525" ht="12.75">
      <c r="C525" s="2"/>
    </row>
    <row r="526" ht="12.75">
      <c r="C526" s="2"/>
    </row>
    <row r="527" ht="12.75">
      <c r="C527" s="2"/>
    </row>
    <row r="528" ht="12.75">
      <c r="C528" s="2"/>
    </row>
    <row r="529" ht="12.75">
      <c r="C529" s="2"/>
    </row>
    <row r="530" ht="12.75">
      <c r="C530" s="2"/>
    </row>
    <row r="531" ht="12.75">
      <c r="C531" s="2"/>
    </row>
    <row r="532" ht="12.75">
      <c r="C532" s="2"/>
    </row>
    <row r="533" ht="12.75">
      <c r="C533" s="2"/>
    </row>
    <row r="534" ht="12.75">
      <c r="C534" s="2"/>
    </row>
    <row r="535" ht="12.75">
      <c r="C535" s="2"/>
    </row>
    <row r="536" ht="12.75">
      <c r="C536" s="2"/>
    </row>
    <row r="537" ht="12.75">
      <c r="C537" s="2"/>
    </row>
    <row r="538" ht="12.75">
      <c r="C538" s="2"/>
    </row>
    <row r="539" ht="12.75">
      <c r="C539" s="2"/>
    </row>
    <row r="540" ht="12.75">
      <c r="C540" s="2"/>
    </row>
    <row r="541" ht="12.75">
      <c r="C541" s="2"/>
    </row>
    <row r="542" ht="12.75">
      <c r="C542" s="2"/>
    </row>
    <row r="543" ht="12.75">
      <c r="C543" s="2"/>
    </row>
    <row r="544" ht="12.75">
      <c r="C544" s="2"/>
    </row>
    <row r="545" ht="12.75">
      <c r="C545" s="2"/>
    </row>
    <row r="546" ht="12.75">
      <c r="C546" s="2"/>
    </row>
    <row r="547" ht="12.75">
      <c r="C547" s="2"/>
    </row>
    <row r="548" ht="12.75">
      <c r="C548" s="2"/>
    </row>
    <row r="549" ht="12.75">
      <c r="C549" s="2"/>
    </row>
    <row r="550" ht="12.75">
      <c r="C550" s="2"/>
    </row>
    <row r="551" ht="12.75">
      <c r="C551" s="2"/>
    </row>
    <row r="552" ht="12.75">
      <c r="C552" s="2"/>
    </row>
    <row r="553" ht="12.75">
      <c r="C553" s="2"/>
    </row>
    <row r="554" ht="12.75">
      <c r="C554" s="2"/>
    </row>
    <row r="555" ht="12.75">
      <c r="C555" s="2"/>
    </row>
    <row r="556" ht="12.75">
      <c r="C556" s="2"/>
    </row>
    <row r="557" ht="12.75">
      <c r="C557" s="2"/>
    </row>
    <row r="558" ht="12.75">
      <c r="C558" s="2"/>
    </row>
    <row r="559" ht="12.75">
      <c r="C559" s="2"/>
    </row>
    <row r="560" ht="12.75">
      <c r="C560" s="2"/>
    </row>
    <row r="561" ht="12.75">
      <c r="C561" s="2"/>
    </row>
    <row r="562" ht="12.75">
      <c r="C562" s="2"/>
    </row>
    <row r="563" ht="12.75">
      <c r="C563" s="2"/>
    </row>
    <row r="564" ht="12.75">
      <c r="C564" s="2"/>
    </row>
    <row r="565" ht="12.75">
      <c r="C565" s="2"/>
    </row>
    <row r="566" ht="12.75">
      <c r="C566" s="2"/>
    </row>
    <row r="567" ht="12.75">
      <c r="C567" s="2"/>
    </row>
    <row r="568" ht="12.75">
      <c r="C568" s="2"/>
    </row>
    <row r="569" ht="12.75">
      <c r="C569" s="2"/>
    </row>
    <row r="570" ht="12.75">
      <c r="C570" s="2"/>
    </row>
    <row r="571" ht="12.75">
      <c r="C571" s="2"/>
    </row>
    <row r="572" ht="12.75">
      <c r="C572" s="2"/>
    </row>
    <row r="573" ht="12.75">
      <c r="C573" s="2"/>
    </row>
    <row r="574" ht="12.75">
      <c r="C574" s="2"/>
    </row>
    <row r="575" ht="12.75">
      <c r="C575" s="2"/>
    </row>
    <row r="576" ht="12.75">
      <c r="C576" s="2"/>
    </row>
    <row r="577" ht="12.75">
      <c r="C577" s="2"/>
    </row>
    <row r="578" ht="12.75">
      <c r="C578" s="2"/>
    </row>
    <row r="579" ht="12.75">
      <c r="C579" s="2"/>
    </row>
    <row r="580" ht="12.75">
      <c r="C580" s="2"/>
    </row>
    <row r="581" ht="12.75">
      <c r="C581" s="2"/>
    </row>
    <row r="582" ht="12.75">
      <c r="C582" s="2"/>
    </row>
    <row r="583" ht="12.75">
      <c r="C583" s="2"/>
    </row>
    <row r="584" ht="12.75">
      <c r="C584" s="2"/>
    </row>
    <row r="585" ht="12.75">
      <c r="C585" s="2"/>
    </row>
    <row r="586" ht="12.75">
      <c r="C586" s="2"/>
    </row>
    <row r="587" ht="12.75">
      <c r="C587" s="2"/>
    </row>
    <row r="588" ht="12.75">
      <c r="C588" s="2"/>
    </row>
    <row r="589" ht="12.75">
      <c r="C589" s="2"/>
    </row>
    <row r="590" ht="12.75">
      <c r="C590" s="2"/>
    </row>
    <row r="591" ht="12.75">
      <c r="C591" s="2"/>
    </row>
    <row r="592" ht="12.75">
      <c r="C592" s="2"/>
    </row>
    <row r="593" ht="12.75">
      <c r="C593" s="2"/>
    </row>
    <row r="594" ht="12.75">
      <c r="C594" s="2"/>
    </row>
    <row r="595" ht="12.75">
      <c r="C595" s="2"/>
    </row>
    <row r="596" ht="12.75">
      <c r="C596" s="2"/>
    </row>
    <row r="597" ht="12.75">
      <c r="C597" s="2"/>
    </row>
    <row r="598" ht="12.75">
      <c r="C598" s="2"/>
    </row>
    <row r="599" ht="12.75">
      <c r="C599" s="2"/>
    </row>
    <row r="600" ht="12.75">
      <c r="C600" s="2"/>
    </row>
    <row r="601" ht="12.75">
      <c r="C601" s="2"/>
    </row>
    <row r="602" ht="12.75">
      <c r="C602" s="2"/>
    </row>
    <row r="603" ht="12.75">
      <c r="C603" s="2"/>
    </row>
    <row r="604" ht="12.75">
      <c r="C604" s="2"/>
    </row>
    <row r="605" ht="12.75">
      <c r="C605" s="2"/>
    </row>
    <row r="606" ht="12.75">
      <c r="C606" s="2"/>
    </row>
    <row r="607" ht="12.75">
      <c r="C607" s="2"/>
    </row>
    <row r="608" ht="12.75">
      <c r="C608" s="2"/>
    </row>
    <row r="609" ht="12.75">
      <c r="C609" s="2"/>
    </row>
    <row r="610" ht="12.75">
      <c r="C610" s="2"/>
    </row>
    <row r="611" ht="12.75">
      <c r="C611" s="2"/>
    </row>
    <row r="612" ht="12.75">
      <c r="C612" s="2"/>
    </row>
    <row r="613" ht="12.75">
      <c r="C613" s="2"/>
    </row>
    <row r="614" ht="12.75">
      <c r="C614" s="2"/>
    </row>
    <row r="615" ht="12.75">
      <c r="C615" s="2"/>
    </row>
    <row r="616" ht="12.75">
      <c r="C616" s="2"/>
    </row>
    <row r="617" ht="12.75">
      <c r="C617" s="2"/>
    </row>
    <row r="618" ht="12.75">
      <c r="C618" s="2"/>
    </row>
    <row r="619" ht="12.75">
      <c r="C619" s="2"/>
    </row>
    <row r="620" ht="12.75">
      <c r="C620" s="2"/>
    </row>
    <row r="621" ht="12.75">
      <c r="C621" s="2"/>
    </row>
    <row r="622" ht="12.75">
      <c r="C622" s="2"/>
    </row>
    <row r="623" ht="12.75">
      <c r="C623" s="2"/>
    </row>
    <row r="624" ht="12.75">
      <c r="C624" s="2"/>
    </row>
    <row r="625" ht="12.75">
      <c r="C625" s="2"/>
    </row>
    <row r="626" ht="12.75">
      <c r="C626" s="2"/>
    </row>
    <row r="627" ht="12.75">
      <c r="C627" s="2"/>
    </row>
    <row r="628" ht="12.75">
      <c r="C628" s="2"/>
    </row>
    <row r="629" ht="12.75">
      <c r="C629" s="2"/>
    </row>
    <row r="630" ht="12.75">
      <c r="C630" s="2"/>
    </row>
    <row r="631" ht="12.75">
      <c r="C631" s="2"/>
    </row>
    <row r="632" ht="12.75">
      <c r="C632" s="2"/>
    </row>
    <row r="633" ht="12.75">
      <c r="C633" s="2"/>
    </row>
    <row r="634" ht="12.75">
      <c r="C634" s="2"/>
    </row>
    <row r="635" ht="12.75">
      <c r="C635" s="2"/>
    </row>
    <row r="636" ht="12.75">
      <c r="C636" s="2"/>
    </row>
    <row r="637" ht="12.75">
      <c r="C637" s="2"/>
    </row>
    <row r="638" ht="12.75">
      <c r="C638" s="2"/>
    </row>
    <row r="639" ht="12.75">
      <c r="C639" s="2"/>
    </row>
    <row r="640" ht="12.75">
      <c r="C640" s="2"/>
    </row>
    <row r="641" ht="12.75">
      <c r="C641" s="2"/>
    </row>
    <row r="642" ht="12.75">
      <c r="C642" s="2"/>
    </row>
    <row r="643" ht="12.75">
      <c r="C643" s="2"/>
    </row>
    <row r="644" ht="12.75">
      <c r="C644" s="2"/>
    </row>
    <row r="645" ht="12.75">
      <c r="C645" s="2"/>
    </row>
    <row r="646" ht="12.75">
      <c r="C646" s="2"/>
    </row>
    <row r="647" ht="12.75">
      <c r="C647" s="2"/>
    </row>
    <row r="648" ht="12.75">
      <c r="C648" s="2"/>
    </row>
    <row r="649" ht="12.75">
      <c r="C649" s="2"/>
    </row>
    <row r="650" ht="12.75">
      <c r="C650" s="2"/>
    </row>
    <row r="651" ht="12.75">
      <c r="C651" s="2"/>
    </row>
    <row r="652" ht="12.75">
      <c r="C652" s="2"/>
    </row>
    <row r="653" ht="12.75">
      <c r="C653" s="2"/>
    </row>
    <row r="654" ht="12.75">
      <c r="C654" s="2"/>
    </row>
    <row r="655" ht="12.75">
      <c r="C655" s="2"/>
    </row>
    <row r="656" ht="12.75">
      <c r="C656" s="2"/>
    </row>
    <row r="657" ht="12.75">
      <c r="C657" s="2"/>
    </row>
    <row r="658" ht="12.75">
      <c r="C658" s="2"/>
    </row>
    <row r="659" ht="12.75">
      <c r="C659" s="2"/>
    </row>
    <row r="660" ht="12.75">
      <c r="C660" s="2"/>
    </row>
    <row r="661" ht="12.75">
      <c r="C661" s="2"/>
    </row>
    <row r="662" ht="12.75">
      <c r="C662" s="2"/>
    </row>
    <row r="663" ht="12.75">
      <c r="C663" s="2"/>
    </row>
    <row r="664" ht="12.75">
      <c r="C664" s="2"/>
    </row>
    <row r="665" ht="12.75">
      <c r="C665" s="2"/>
    </row>
    <row r="666" ht="12.75">
      <c r="C666" s="2"/>
    </row>
    <row r="667" ht="12.75">
      <c r="C667" s="2"/>
    </row>
    <row r="668" ht="12.75">
      <c r="C668" s="2"/>
    </row>
    <row r="669" ht="12.75">
      <c r="C669" s="2"/>
    </row>
    <row r="670" ht="12.75">
      <c r="C670" s="2"/>
    </row>
    <row r="671" ht="12.75">
      <c r="C671" s="2"/>
    </row>
    <row r="672" ht="12.75">
      <c r="C672" s="2"/>
    </row>
    <row r="673" ht="12.75">
      <c r="C673" s="2"/>
    </row>
    <row r="674" ht="12.75">
      <c r="C674" s="2"/>
    </row>
    <row r="675" ht="12.75">
      <c r="C675" s="2"/>
    </row>
    <row r="676" ht="12.75">
      <c r="C676" s="2"/>
    </row>
    <row r="677" ht="12.75">
      <c r="C677" s="2"/>
    </row>
    <row r="678" ht="12.75">
      <c r="C678" s="2"/>
    </row>
    <row r="679" ht="12.75">
      <c r="C679" s="2"/>
    </row>
    <row r="680" ht="12.75">
      <c r="C680" s="2"/>
    </row>
    <row r="681" ht="12.75">
      <c r="C681" s="2"/>
    </row>
    <row r="682" ht="12.75">
      <c r="C682" s="2"/>
    </row>
    <row r="683" ht="12.75">
      <c r="C683" s="2"/>
    </row>
    <row r="684" ht="12.75">
      <c r="C684" s="2"/>
    </row>
    <row r="685" ht="12.75">
      <c r="C685" s="2"/>
    </row>
    <row r="686" ht="12.75">
      <c r="C686" s="2"/>
    </row>
    <row r="687" ht="12.75">
      <c r="C687" s="2"/>
    </row>
    <row r="688" ht="12.75">
      <c r="C688" s="2"/>
    </row>
    <row r="689" ht="12.75">
      <c r="C689" s="2"/>
    </row>
    <row r="690" ht="12.75">
      <c r="C690" s="2"/>
    </row>
    <row r="691" ht="12.75">
      <c r="C691" s="2"/>
    </row>
    <row r="692" ht="12.75">
      <c r="C692" s="2"/>
    </row>
    <row r="693" ht="12.75">
      <c r="C693" s="2"/>
    </row>
    <row r="694" ht="12.75">
      <c r="C694" s="2"/>
    </row>
    <row r="695" ht="12.75">
      <c r="C695" s="2"/>
    </row>
    <row r="696" ht="12.75">
      <c r="C696" s="2"/>
    </row>
    <row r="697" ht="12.75">
      <c r="C697" s="2"/>
    </row>
    <row r="698" ht="12.75">
      <c r="C698" s="2"/>
    </row>
    <row r="699" ht="12.75">
      <c r="C699" s="2"/>
    </row>
    <row r="700" ht="12.75">
      <c r="C700" s="2"/>
    </row>
    <row r="701" ht="12.75">
      <c r="C701" s="2"/>
    </row>
    <row r="702" ht="12.75">
      <c r="C702" s="2"/>
    </row>
    <row r="703" ht="12.75">
      <c r="C703" s="2"/>
    </row>
    <row r="704" ht="12.75">
      <c r="C704" s="2"/>
    </row>
    <row r="705" ht="12.75">
      <c r="C705" s="2"/>
    </row>
    <row r="706" ht="12.75">
      <c r="C706" s="2"/>
    </row>
    <row r="707" ht="12.75">
      <c r="C707" s="2"/>
    </row>
    <row r="708" ht="12.75">
      <c r="C708" s="2"/>
    </row>
    <row r="709" ht="12.75">
      <c r="C709" s="2"/>
    </row>
    <row r="710" ht="12.75">
      <c r="C710" s="2"/>
    </row>
    <row r="711" ht="12.75">
      <c r="C711" s="2"/>
    </row>
    <row r="712" ht="12.75">
      <c r="C712" s="2"/>
    </row>
    <row r="713" ht="12.75">
      <c r="C713" s="2"/>
    </row>
    <row r="714" ht="12.75">
      <c r="C714" s="2"/>
    </row>
    <row r="715" ht="12.75">
      <c r="C715" s="2"/>
    </row>
    <row r="716" ht="12.75">
      <c r="C716" s="2"/>
    </row>
    <row r="717" ht="12.75">
      <c r="C717" s="2"/>
    </row>
    <row r="718" ht="12.75">
      <c r="C718" s="2"/>
    </row>
    <row r="719" ht="12.75">
      <c r="C719" s="2"/>
    </row>
    <row r="720" ht="12.75">
      <c r="C720" s="2"/>
    </row>
    <row r="721" ht="12.75">
      <c r="C721" s="2"/>
    </row>
    <row r="722" ht="12.75">
      <c r="C722" s="2"/>
    </row>
    <row r="723" ht="12.75">
      <c r="C723" s="2"/>
    </row>
    <row r="724" ht="12.75">
      <c r="C724" s="2"/>
    </row>
    <row r="725" ht="12.75">
      <c r="C725" s="2"/>
    </row>
    <row r="726" ht="12.75">
      <c r="C726" s="2"/>
    </row>
    <row r="727" ht="12.75">
      <c r="C727" s="2"/>
    </row>
    <row r="728" ht="12.75">
      <c r="C728" s="2"/>
    </row>
    <row r="729" ht="12.75">
      <c r="C729" s="2"/>
    </row>
    <row r="730" ht="12.75">
      <c r="C730" s="2"/>
    </row>
    <row r="731" ht="12.75">
      <c r="C731" s="2"/>
    </row>
    <row r="732" ht="12.75">
      <c r="C732" s="2"/>
    </row>
    <row r="733" ht="12.75">
      <c r="C733" s="2"/>
    </row>
    <row r="734" ht="12.75">
      <c r="C734" s="2"/>
    </row>
    <row r="735" ht="12.75">
      <c r="C735" s="2"/>
    </row>
    <row r="736" ht="12.75">
      <c r="C736" s="2"/>
    </row>
    <row r="737" ht="12.75">
      <c r="C737" s="2"/>
    </row>
    <row r="738" ht="12.75">
      <c r="C738" s="2"/>
    </row>
    <row r="739" ht="12.75">
      <c r="C739" s="2"/>
    </row>
    <row r="740" ht="12.75">
      <c r="C740" s="2"/>
    </row>
    <row r="741" ht="12.75">
      <c r="C741" s="2"/>
    </row>
    <row r="742" ht="12.75">
      <c r="C742" s="2"/>
    </row>
    <row r="743" ht="12.75">
      <c r="C743" s="2"/>
    </row>
    <row r="744" ht="12.75">
      <c r="C744" s="2"/>
    </row>
    <row r="745" ht="12.75">
      <c r="C745" s="2"/>
    </row>
    <row r="746" ht="12.75">
      <c r="C746" s="2"/>
    </row>
    <row r="747" ht="12.75">
      <c r="C747" s="2"/>
    </row>
    <row r="748" ht="12.75">
      <c r="C748" s="2"/>
    </row>
    <row r="749" ht="12.75">
      <c r="C749" s="2"/>
    </row>
    <row r="750" ht="12.75">
      <c r="C750" s="2"/>
    </row>
    <row r="751" ht="12.75">
      <c r="C751" s="2"/>
    </row>
    <row r="752" ht="12.75">
      <c r="C752" s="2"/>
    </row>
    <row r="753" ht="12.75">
      <c r="C753" s="2"/>
    </row>
    <row r="754" ht="12.75">
      <c r="C754" s="2"/>
    </row>
    <row r="755" ht="12.75">
      <c r="C755" s="2"/>
    </row>
    <row r="756" ht="12.75">
      <c r="C756" s="2"/>
    </row>
    <row r="757" ht="12.75">
      <c r="C757" s="2"/>
    </row>
    <row r="758" ht="12.75">
      <c r="C758" s="2"/>
    </row>
    <row r="759" ht="12.75">
      <c r="C759" s="2"/>
    </row>
    <row r="760" ht="12.75">
      <c r="C760" s="2"/>
    </row>
    <row r="761" ht="12.75">
      <c r="C761" s="2"/>
    </row>
    <row r="762" ht="12.75">
      <c r="C762" s="2"/>
    </row>
    <row r="763" ht="12.75">
      <c r="C763" s="2"/>
    </row>
    <row r="764" ht="12.75">
      <c r="C764" s="2"/>
    </row>
    <row r="765" ht="12.75">
      <c r="C765" s="2"/>
    </row>
    <row r="766" ht="12.75">
      <c r="C766" s="2"/>
    </row>
    <row r="767" ht="12.75">
      <c r="C767" s="2"/>
    </row>
    <row r="768" ht="12.75">
      <c r="C768" s="2"/>
    </row>
    <row r="769" ht="12.75">
      <c r="C769" s="2"/>
    </row>
    <row r="770" ht="12.75">
      <c r="C770" s="2"/>
    </row>
    <row r="771" ht="12.75">
      <c r="C771" s="2"/>
    </row>
    <row r="772" ht="12.75">
      <c r="C772" s="2"/>
    </row>
    <row r="773" ht="12.75">
      <c r="C773" s="2"/>
    </row>
    <row r="774" ht="12.75">
      <c r="C774" s="2"/>
    </row>
    <row r="775" ht="12.75">
      <c r="C775" s="2"/>
    </row>
    <row r="776" ht="12.75">
      <c r="C776" s="2"/>
    </row>
    <row r="777" ht="12.75">
      <c r="C777" s="2"/>
    </row>
    <row r="778" ht="12.75">
      <c r="C778" s="2"/>
    </row>
    <row r="779" ht="12.75">
      <c r="C779" s="2"/>
    </row>
    <row r="780" ht="12.75">
      <c r="C780" s="2"/>
    </row>
    <row r="781" ht="12.75">
      <c r="C781" s="2"/>
    </row>
    <row r="782" ht="12.75">
      <c r="C782" s="2"/>
    </row>
    <row r="783" ht="12.75">
      <c r="C783" s="2"/>
    </row>
    <row r="784" ht="12.75">
      <c r="C784" s="2"/>
    </row>
    <row r="785" ht="12.75">
      <c r="C785" s="2"/>
    </row>
    <row r="786" ht="12.75">
      <c r="C786" s="2"/>
    </row>
    <row r="787" ht="12.75">
      <c r="C787" s="2"/>
    </row>
    <row r="788" ht="12.75">
      <c r="C788" s="2"/>
    </row>
    <row r="789" ht="12.75">
      <c r="C789" s="2"/>
    </row>
    <row r="790" ht="12.75">
      <c r="C790" s="2"/>
    </row>
    <row r="791" ht="12.75">
      <c r="C791" s="2"/>
    </row>
    <row r="792" ht="12.75">
      <c r="C792" s="2"/>
    </row>
    <row r="793" ht="12.75">
      <c r="C793" s="2"/>
    </row>
    <row r="794" ht="12.75">
      <c r="C794" s="2"/>
    </row>
    <row r="795" ht="12.75">
      <c r="C795" s="2"/>
    </row>
    <row r="796" ht="12.75">
      <c r="C796" s="2"/>
    </row>
    <row r="797" ht="12.75">
      <c r="C797" s="2"/>
    </row>
    <row r="798" ht="12.75">
      <c r="C798" s="2"/>
    </row>
    <row r="799" ht="12.75">
      <c r="C799" s="2"/>
    </row>
    <row r="800" ht="12.75">
      <c r="C800" s="2"/>
    </row>
    <row r="801" ht="12.75">
      <c r="C801" s="2"/>
    </row>
    <row r="802" ht="12.75">
      <c r="C802" s="2"/>
    </row>
    <row r="803" ht="12.75">
      <c r="C803" s="2"/>
    </row>
    <row r="804" ht="12.75">
      <c r="C804" s="2"/>
    </row>
    <row r="805" ht="12.75">
      <c r="C805" s="2"/>
    </row>
    <row r="806" ht="12.75">
      <c r="C806" s="2"/>
    </row>
    <row r="807" ht="12.75">
      <c r="C807" s="2"/>
    </row>
    <row r="808" ht="12.75">
      <c r="C808" s="2"/>
    </row>
    <row r="809" ht="12.75">
      <c r="C809" s="2"/>
    </row>
    <row r="810" ht="12.75">
      <c r="C810" s="2"/>
    </row>
    <row r="811" ht="12.75">
      <c r="C811" s="2"/>
    </row>
    <row r="812" ht="12.75">
      <c r="C812" s="2"/>
    </row>
    <row r="813" ht="12.75">
      <c r="C813" s="2"/>
    </row>
    <row r="814" ht="12.75">
      <c r="C814" s="2"/>
    </row>
    <row r="815" ht="12.75">
      <c r="C815" s="2"/>
    </row>
    <row r="816" ht="12.75">
      <c r="C816" s="2"/>
    </row>
    <row r="817" ht="12.75">
      <c r="C817" s="2"/>
    </row>
    <row r="818" ht="12.75">
      <c r="C818" s="2"/>
    </row>
    <row r="819" ht="12.75">
      <c r="C819" s="2"/>
    </row>
    <row r="820" ht="12.75">
      <c r="C820" s="2"/>
    </row>
    <row r="821" ht="12.75">
      <c r="C821" s="2"/>
    </row>
    <row r="822" ht="12.75">
      <c r="C822" s="2"/>
    </row>
    <row r="823" ht="12.75">
      <c r="C823" s="2"/>
    </row>
    <row r="824" ht="12.75">
      <c r="C824" s="2"/>
    </row>
    <row r="825" ht="12.75">
      <c r="C825" s="2"/>
    </row>
    <row r="826" ht="12.75">
      <c r="C826" s="2"/>
    </row>
    <row r="827" ht="12.75">
      <c r="C827" s="2"/>
    </row>
    <row r="828" ht="12.75">
      <c r="C828" s="2"/>
    </row>
    <row r="829" ht="12.75">
      <c r="C829" s="2"/>
    </row>
    <row r="830" ht="12.75">
      <c r="C830" s="2"/>
    </row>
    <row r="831" ht="12.75">
      <c r="C831" s="2"/>
    </row>
    <row r="832" ht="12.75">
      <c r="C832" s="2"/>
    </row>
    <row r="833" ht="12.75">
      <c r="C833" s="2"/>
    </row>
    <row r="834" ht="12.75">
      <c r="C834" s="2"/>
    </row>
    <row r="835" ht="12.75">
      <c r="C835" s="2"/>
    </row>
    <row r="836" ht="12.75">
      <c r="C836" s="2"/>
    </row>
    <row r="837" ht="12.75">
      <c r="C837" s="2"/>
    </row>
    <row r="838" ht="12.75">
      <c r="C838" s="2"/>
    </row>
    <row r="839" ht="12.75">
      <c r="C839" s="2"/>
    </row>
    <row r="840" ht="12.75">
      <c r="C840" s="2"/>
    </row>
    <row r="841" ht="12.75">
      <c r="C841" s="2"/>
    </row>
    <row r="842" ht="12.75">
      <c r="C842" s="2"/>
    </row>
    <row r="843" ht="12.75">
      <c r="C843" s="2"/>
    </row>
    <row r="844" ht="12.75">
      <c r="C844" s="2"/>
    </row>
    <row r="845" ht="12.75">
      <c r="C845" s="2"/>
    </row>
    <row r="846" ht="12.75">
      <c r="C846" s="2"/>
    </row>
    <row r="847" ht="12.75">
      <c r="C847" s="2"/>
    </row>
    <row r="848" ht="12.75">
      <c r="C848" s="2"/>
    </row>
    <row r="849" ht="12.75">
      <c r="C849" s="2"/>
    </row>
    <row r="850" ht="12.75">
      <c r="C850" s="2"/>
    </row>
    <row r="851" ht="12.75">
      <c r="C851" s="2"/>
    </row>
    <row r="852" ht="12.75">
      <c r="C852" s="2"/>
    </row>
    <row r="853" ht="12.75">
      <c r="C853" s="2"/>
    </row>
    <row r="854" ht="12.75">
      <c r="C854" s="2"/>
    </row>
    <row r="855" ht="12.75">
      <c r="C855" s="2"/>
    </row>
    <row r="856" ht="12.75">
      <c r="C856" s="2"/>
    </row>
    <row r="857" ht="12.75">
      <c r="C857" s="2"/>
    </row>
    <row r="858" ht="12.75">
      <c r="C858" s="2"/>
    </row>
    <row r="859" ht="12.75">
      <c r="C859" s="2"/>
    </row>
    <row r="860" ht="12.75">
      <c r="C860" s="2"/>
    </row>
    <row r="861" ht="12.75">
      <c r="C861" s="2"/>
    </row>
    <row r="862" ht="12.75">
      <c r="C862" s="2"/>
    </row>
    <row r="863" ht="12.75">
      <c r="C863" s="2"/>
    </row>
    <row r="864" ht="12.75">
      <c r="C864" s="2"/>
    </row>
    <row r="865" ht="12.75">
      <c r="C865" s="2"/>
    </row>
    <row r="866" ht="12.75">
      <c r="C866" s="2"/>
    </row>
    <row r="867" ht="12.75">
      <c r="C867" s="2"/>
    </row>
    <row r="868" ht="12.75">
      <c r="C868" s="2"/>
    </row>
    <row r="869" ht="12.75">
      <c r="C869" s="2"/>
    </row>
    <row r="870" ht="12.75">
      <c r="C870" s="2"/>
    </row>
    <row r="871" ht="12.75">
      <c r="C871" s="2"/>
    </row>
    <row r="872" ht="12.75">
      <c r="C872" s="2"/>
    </row>
    <row r="873" ht="12.75">
      <c r="C873" s="2"/>
    </row>
    <row r="874" ht="12.75">
      <c r="C874" s="2"/>
    </row>
    <row r="875" ht="12.75">
      <c r="C875" s="2"/>
    </row>
    <row r="876" ht="12.75">
      <c r="C876" s="2"/>
    </row>
    <row r="877" ht="12.75">
      <c r="C877" s="2"/>
    </row>
    <row r="878" ht="12.75">
      <c r="C878" s="2"/>
    </row>
    <row r="879" ht="12.75">
      <c r="C879" s="2"/>
    </row>
    <row r="880" ht="12.75">
      <c r="C880" s="2"/>
    </row>
    <row r="881" ht="12.75">
      <c r="C881" s="2"/>
    </row>
    <row r="882" ht="12.75">
      <c r="C882" s="2"/>
    </row>
    <row r="883" ht="12.75">
      <c r="C883" s="2"/>
    </row>
    <row r="884" ht="12.75">
      <c r="C884" s="2"/>
    </row>
    <row r="885" ht="12.75">
      <c r="C885" s="2"/>
    </row>
    <row r="886" ht="12.75">
      <c r="C886" s="2"/>
    </row>
    <row r="887" ht="12.75">
      <c r="C887" s="2"/>
    </row>
    <row r="888" ht="12.75">
      <c r="C888" s="2"/>
    </row>
    <row r="889" ht="12.75">
      <c r="C889" s="2"/>
    </row>
    <row r="890" ht="12.75">
      <c r="C890" s="2"/>
    </row>
    <row r="891" ht="12.75">
      <c r="C891" s="2"/>
    </row>
    <row r="892" ht="12.75">
      <c r="C892" s="2"/>
    </row>
    <row r="893" ht="12.75">
      <c r="C893" s="2"/>
    </row>
    <row r="894" ht="12.75">
      <c r="C894" s="2"/>
    </row>
    <row r="895" ht="12.75">
      <c r="C895" s="2"/>
    </row>
    <row r="896" ht="12.75">
      <c r="C896" s="2"/>
    </row>
    <row r="897" ht="12.75">
      <c r="C897" s="2"/>
    </row>
    <row r="898" ht="12.75">
      <c r="C898" s="2"/>
    </row>
    <row r="899" ht="12.75">
      <c r="C899" s="2"/>
    </row>
    <row r="900" ht="12.75">
      <c r="C900" s="2"/>
    </row>
    <row r="901" ht="12.75">
      <c r="C901" s="2"/>
    </row>
    <row r="902" ht="12.75">
      <c r="C902" s="2"/>
    </row>
    <row r="903" ht="12.75">
      <c r="C903" s="2"/>
    </row>
    <row r="904" ht="12.75">
      <c r="C904" s="2"/>
    </row>
    <row r="905" ht="12.75">
      <c r="C905" s="2"/>
    </row>
    <row r="906" ht="12.75">
      <c r="C906" s="2"/>
    </row>
    <row r="907" ht="12.75">
      <c r="C907" s="2"/>
    </row>
    <row r="908" ht="12.75">
      <c r="C908" s="2"/>
    </row>
    <row r="909" ht="12.75">
      <c r="C909" s="2"/>
    </row>
    <row r="910" ht="12.75">
      <c r="C910" s="2"/>
    </row>
    <row r="911" ht="12.75">
      <c r="C911" s="2"/>
    </row>
    <row r="912" ht="12.75">
      <c r="C912" s="2"/>
    </row>
    <row r="913" ht="12.75">
      <c r="C913" s="2"/>
    </row>
    <row r="914" ht="12.75">
      <c r="C914" s="2"/>
    </row>
    <row r="915" ht="12.75">
      <c r="C915" s="2"/>
    </row>
    <row r="916" ht="12.75">
      <c r="C916" s="2"/>
    </row>
    <row r="917" ht="12.75">
      <c r="C917" s="2"/>
    </row>
    <row r="918" ht="12.75">
      <c r="C918" s="2"/>
    </row>
    <row r="919" ht="12.75">
      <c r="C919" s="2"/>
    </row>
    <row r="920" ht="12.75">
      <c r="C920" s="2"/>
    </row>
    <row r="921" ht="12.75">
      <c r="C921" s="2"/>
    </row>
    <row r="922" ht="12.75">
      <c r="C922" s="2"/>
    </row>
    <row r="923" ht="12.75">
      <c r="C923" s="2"/>
    </row>
    <row r="924" ht="12.75">
      <c r="C924" s="2"/>
    </row>
    <row r="925" ht="12.75">
      <c r="C925" s="2"/>
    </row>
    <row r="926" ht="12.75">
      <c r="C926" s="2"/>
    </row>
    <row r="927" ht="12.75">
      <c r="C927" s="2"/>
    </row>
    <row r="928" ht="12.75">
      <c r="C928" s="2"/>
    </row>
    <row r="929" ht="12.75">
      <c r="C929" s="2"/>
    </row>
    <row r="930" ht="12.75">
      <c r="C930" s="2"/>
    </row>
    <row r="931" ht="12.75">
      <c r="C931" s="2"/>
    </row>
    <row r="932" ht="12.75">
      <c r="C932" s="2"/>
    </row>
    <row r="933" ht="12.75">
      <c r="C933" s="2"/>
    </row>
    <row r="934" ht="12.75">
      <c r="C934" s="2"/>
    </row>
    <row r="935" ht="12.75">
      <c r="C935" s="2"/>
    </row>
    <row r="936" ht="12.75">
      <c r="C936" s="2"/>
    </row>
    <row r="937" ht="12.75">
      <c r="C937" s="2"/>
    </row>
    <row r="938" ht="12.75">
      <c r="C938" s="2"/>
    </row>
    <row r="939" ht="12.75">
      <c r="C939" s="2"/>
    </row>
    <row r="940" ht="12.75">
      <c r="C940" s="2"/>
    </row>
    <row r="941" ht="12.75">
      <c r="C941" s="2"/>
    </row>
    <row r="942" ht="12.75">
      <c r="C942" s="2"/>
    </row>
    <row r="943" ht="12.75">
      <c r="C943" s="2"/>
    </row>
    <row r="944" ht="12.75">
      <c r="C944" s="2"/>
    </row>
    <row r="945" ht="12.75">
      <c r="C945" s="2"/>
    </row>
    <row r="946" ht="12.75">
      <c r="C946" s="2"/>
    </row>
    <row r="947" ht="12.75">
      <c r="C947" s="2"/>
    </row>
    <row r="948" ht="12.75">
      <c r="C948" s="2"/>
    </row>
    <row r="949" ht="12.75">
      <c r="C949" s="2"/>
    </row>
    <row r="950" ht="12.75">
      <c r="C950" s="2"/>
    </row>
    <row r="951" ht="12.75">
      <c r="C951" s="2"/>
    </row>
    <row r="952" ht="12.75">
      <c r="C952" s="2"/>
    </row>
    <row r="953" ht="12.75">
      <c r="C953" s="2"/>
    </row>
    <row r="954" ht="12.75">
      <c r="C954" s="2"/>
    </row>
    <row r="955" ht="12.75">
      <c r="C955" s="2"/>
    </row>
    <row r="956" ht="12.75">
      <c r="C956" s="2"/>
    </row>
    <row r="957" ht="12.75">
      <c r="C957" s="2"/>
    </row>
    <row r="958" ht="12.75">
      <c r="C958" s="2"/>
    </row>
    <row r="959" ht="12.75">
      <c r="C959" s="2"/>
    </row>
    <row r="960" ht="12.75">
      <c r="C960" s="2"/>
    </row>
    <row r="961" ht="12.75">
      <c r="C961" s="2"/>
    </row>
    <row r="962" ht="12.75">
      <c r="C962" s="2"/>
    </row>
    <row r="963" ht="12.75">
      <c r="C963" s="2"/>
    </row>
    <row r="964" ht="12.75">
      <c r="C964" s="2"/>
    </row>
    <row r="965" ht="12.75">
      <c r="C965" s="2"/>
    </row>
    <row r="966" ht="12.75">
      <c r="C966" s="2"/>
    </row>
    <row r="967" ht="12.75">
      <c r="C967" s="2"/>
    </row>
    <row r="968" ht="12.75">
      <c r="C968" s="2"/>
    </row>
    <row r="969" ht="12.75">
      <c r="C969" s="2"/>
    </row>
    <row r="970" ht="12.75">
      <c r="C970" s="2"/>
    </row>
    <row r="971" ht="12.75">
      <c r="C971" s="2"/>
    </row>
    <row r="972" ht="12.75">
      <c r="C972" s="2"/>
    </row>
    <row r="973" ht="12.75">
      <c r="C973" s="2"/>
    </row>
    <row r="974" ht="12.75">
      <c r="C974" s="2"/>
    </row>
    <row r="975" ht="12.75">
      <c r="C975" s="2"/>
    </row>
    <row r="976" ht="12.75">
      <c r="C976" s="2"/>
    </row>
    <row r="977" ht="12.75">
      <c r="C977" s="2"/>
    </row>
    <row r="978" ht="12.75">
      <c r="C978" s="2"/>
    </row>
    <row r="979" ht="12.75">
      <c r="C979" s="2"/>
    </row>
    <row r="980" ht="12.75">
      <c r="C980" s="2"/>
    </row>
    <row r="981" ht="12.75">
      <c r="C981" s="2"/>
    </row>
    <row r="982" ht="12.75">
      <c r="C982" s="2"/>
    </row>
    <row r="983" ht="12.75">
      <c r="C983" s="2"/>
    </row>
    <row r="984" ht="12.75">
      <c r="C984" s="2"/>
    </row>
    <row r="985" ht="12.75">
      <c r="C985" s="2"/>
    </row>
  </sheetData>
  <sheetProtection/>
  <mergeCells count="22">
    <mergeCell ref="E8:J8"/>
    <mergeCell ref="A10:A13"/>
    <mergeCell ref="O12:O13"/>
    <mergeCell ref="E11:E13"/>
    <mergeCell ref="L12:L13"/>
    <mergeCell ref="D10:D13"/>
    <mergeCell ref="N11:N13"/>
    <mergeCell ref="M12:M13"/>
    <mergeCell ref="B10:B13"/>
    <mergeCell ref="C10:C13"/>
    <mergeCell ref="P10:P13"/>
    <mergeCell ref="F11:F13"/>
    <mergeCell ref="G11:H11"/>
    <mergeCell ref="J11:J13"/>
    <mergeCell ref="K11:K13"/>
    <mergeCell ref="H12:H13"/>
    <mergeCell ref="J10:O10"/>
    <mergeCell ref="I181:L181"/>
    <mergeCell ref="E10:I10"/>
    <mergeCell ref="L11:M11"/>
    <mergeCell ref="I11:I13"/>
    <mergeCell ref="G12:G13"/>
  </mergeCells>
  <conditionalFormatting sqref="S89:W89 F86:F88">
    <cfRule type="cellIs" priority="1" dxfId="0"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25" r:id="rId1"/>
  <headerFooter alignWithMargins="0">
    <oddFooter>&amp;CСтраница &amp;P</oddFooter>
  </headerFooter>
  <rowBreaks count="10" manualBreakCount="10">
    <brk id="34" max="15" man="1"/>
    <brk id="49" max="15" man="1"/>
    <brk id="64" max="15" man="1"/>
    <brk id="83" max="15" man="1"/>
    <brk id="102" max="15" man="1"/>
    <brk id="115" max="15" man="1"/>
    <brk id="128" max="15" man="1"/>
    <brk id="145" max="15" man="1"/>
    <brk id="170" max="15" man="1"/>
    <brk id="18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2017-10-16T10:30:39Z</cp:lastPrinted>
  <dcterms:created xsi:type="dcterms:W3CDTF">2002-12-20T15:22:07Z</dcterms:created>
  <dcterms:modified xsi:type="dcterms:W3CDTF">2017-10-23T11:55:35Z</dcterms:modified>
  <cp:category/>
  <cp:version/>
  <cp:contentType/>
  <cp:contentStatus/>
</cp:coreProperties>
</file>