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'Лист1'!$8:$12</definedName>
    <definedName name="_xlnm.Print_Area" localSheetId="0">'Лист1'!$A$1:$M$129</definedName>
  </definedNames>
  <calcPr fullCalcOnLoad="1"/>
</workbook>
</file>

<file path=xl/sharedStrings.xml><?xml version="1.0" encoding="utf-8"?>
<sst xmlns="http://schemas.openxmlformats.org/spreadsheetml/2006/main" count="229" uniqueCount="209">
  <si>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</si>
  <si>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</si>
  <si>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</si>
  <si>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</si>
  <si>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</si>
  <si>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</si>
  <si>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</si>
  <si>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</si>
  <si>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</si>
  <si>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</si>
  <si>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</si>
  <si>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</si>
  <si>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</si>
  <si>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</si>
  <si>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</si>
  <si>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</si>
  <si>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</si>
  <si>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</si>
  <si>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</si>
  <si>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</si>
  <si>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</si>
  <si>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</si>
  <si>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</si>
  <si>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</si>
  <si>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</si>
  <si>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</si>
  <si>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</si>
  <si>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</si>
  <si>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</si>
  <si>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</si>
  <si>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</si>
  <si>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</si>
  <si>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</si>
  <si>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</si>
  <si>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Районна рада</t>
  </si>
  <si>
    <t>Засоби масової інформаціїї</t>
  </si>
  <si>
    <t>120201</t>
  </si>
  <si>
    <t>Райдержадміністрація</t>
  </si>
  <si>
    <t>080000</t>
  </si>
  <si>
    <t>080101</t>
  </si>
  <si>
    <t>091101</t>
  </si>
  <si>
    <t>Утримання центрів соціальних служб для сім"ї,</t>
  </si>
  <si>
    <t>дітей та молоді</t>
  </si>
  <si>
    <t xml:space="preserve">130000 </t>
  </si>
  <si>
    <t>Фізична культура і спорт</t>
  </si>
  <si>
    <t>070000</t>
  </si>
  <si>
    <t>070201</t>
  </si>
  <si>
    <t>070401</t>
  </si>
  <si>
    <t>070802</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</si>
  <si>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</si>
  <si>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</si>
  <si>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</si>
  <si>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</si>
  <si>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</si>
  <si>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</si>
  <si>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</si>
  <si>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</si>
  <si>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</si>
  <si>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</si>
  <si>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</si>
  <si>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</si>
  <si>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</si>
  <si>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</si>
  <si>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</si>
  <si>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</si>
  <si>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</si>
  <si>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</si>
  <si>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</si>
  <si>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</si>
  <si>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</si>
  <si>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</si>
  <si>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</si>
  <si>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</si>
  <si>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</si>
  <si>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</si>
  <si>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</si>
  <si>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</si>
  <si>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</si>
  <si>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</si>
  <si>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</si>
  <si>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</si>
  <si>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</si>
  <si>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</si>
  <si>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</si>
  <si>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</si>
  <si>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</si>
  <si>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</si>
  <si>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</si>
  <si>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</si>
  <si>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</si>
  <si>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</si>
  <si>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</si>
  <si>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</si>
  <si>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</si>
  <si>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</si>
  <si>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</si>
  <si>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</si>
  <si>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</si>
  <si>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</si>
  <si>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</si>
  <si>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</si>
  <si>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</si>
  <si>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</si>
  <si>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</si>
  <si>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</si>
  <si>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</si>
  <si>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</si>
  <si>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</si>
  <si>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</si>
  <si>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</si>
  <si>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</si>
  <si>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</si>
  <si>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</si>
  <si>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</si>
  <si>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</si>
  <si>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</si>
  <si>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</si>
  <si>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</si>
  <si>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Витрати на поховання учасників бойових дій та інвалідів війни - за рахунок субвенції з обласного бюджету</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</si>
  <si>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</si>
  <si>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</si>
  <si>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</si>
  <si>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</si>
  <si>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</si>
  <si>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</si>
  <si>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</si>
  <si>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</si>
  <si>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</si>
  <si>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</si>
  <si>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</si>
  <si>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</si>
  <si>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Утримання апарату управління громадських фізкультурно - спортивних організацій  ФСТ "Колос"</t>
  </si>
  <si>
    <t>091207</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</si>
  <si>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</si>
  <si>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</si>
  <si>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</si>
  <si>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</si>
  <si>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</si>
  <si>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</si>
  <si>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</si>
  <si>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</si>
  <si>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</si>
  <si>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Утримання та навчально-тренувальна робота дитячо-юнацьких спортивних шкіл</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</si>
  <si>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</si>
  <si>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</si>
  <si>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</si>
  <si>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</si>
  <si>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</si>
  <si>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</si>
  <si>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091206</t>
  </si>
  <si>
    <t>Центри соціальної реабілітації дітей -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</si>
  <si>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</si>
  <si>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</si>
  <si>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</si>
  <si>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</si>
  <si>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01</t>
  </si>
  <si>
    <t>03</t>
  </si>
  <si>
    <t>10</t>
  </si>
  <si>
    <t>15</t>
  </si>
  <si>
    <t>24</t>
  </si>
  <si>
    <t>76</t>
  </si>
  <si>
    <t>250380</t>
  </si>
  <si>
    <t>070806</t>
  </si>
  <si>
    <t>Інші заклади освіти</t>
  </si>
  <si>
    <t>Загальноосвітні школи ( вт.ч. школа-дитячий садок, інтернат при школі), спеціалізовані школи, ліцей, гімназії, колегіуми</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</si>
  <si>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</si>
  <si>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</si>
  <si>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080800</t>
  </si>
  <si>
    <t>Центри первинної медичної (медико-санітарної) допомоги</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</si>
  <si>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</si>
  <si>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</si>
  <si>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250102</t>
  </si>
  <si>
    <t>Резервний фонд</t>
  </si>
  <si>
    <t xml:space="preserve">                          № </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</si>
  <si>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</si>
  <si>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</si>
  <si>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</si>
  <si>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Відділ культури райдержадміністрації</t>
  </si>
  <si>
    <t>Код типової відомчої класифікації видатків</t>
  </si>
  <si>
    <t>Код тимчасової класифікації видатків та кредитування місцевих бюджетів</t>
  </si>
  <si>
    <t>Додаток 3</t>
  </si>
  <si>
    <t>Допомога на догляд за інвалідом І чи ІІ групи внаслідок психічного розладу - за рахунок субвенції з обласного бюджету</t>
  </si>
  <si>
    <t>в тому числі за рахунок субвенції з державного бюджету</t>
  </si>
  <si>
    <t>Субвенція з обласного бюджету на співфінансування проектів - переможців обласного конкурсу проектів та програм розвитку місцевого самоврядування 2013 року</t>
  </si>
  <si>
    <t>070804</t>
  </si>
  <si>
    <t>Централізована бухгалтерія</t>
  </si>
  <si>
    <t>070805</t>
  </si>
  <si>
    <t>Групи по централізованому господарському обслуговуванню</t>
  </si>
  <si>
    <t>Уточнений розподіл видатків районного бюджету на 2014 рік за головними розпорядниками коштів</t>
  </si>
  <si>
    <t>090802</t>
  </si>
  <si>
    <t>Інші програми соціального захисту дітей</t>
  </si>
  <si>
    <t xml:space="preserve">210105 </t>
  </si>
  <si>
    <t>Видатки на запобігання та ліквідацію надзвичайних ситуа-</t>
  </si>
  <si>
    <t>цій та наслідків стихійного лиха</t>
  </si>
  <si>
    <t>250353</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</si>
  <si>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 (на погашення кредиторської заборгованості 2013 року)</t>
  </si>
  <si>
    <t xml:space="preserve">Субвенція з районного бюджету міському бюджету м.Баштанка за рахунок залишку коштів за станом на 01 січня 2014 року субвенції з державного бюджету на будівництво, реконструкцію, ремонт та утримання вулиць комунальної власності у населених пунктах </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</si>
  <si>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</si>
  <si>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</si>
  <si>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</si>
  <si>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</si>
  <si>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 - за рахунок субвенції з державного бюджету</t>
  </si>
  <si>
    <t>Фінансування заходів на виконання районної Програми підтримки засобів масової інформації та забезпечення відкритиості у діяльності органів державної влади та органів місцевого самоврядування</t>
  </si>
  <si>
    <t>091103</t>
  </si>
  <si>
    <t>Соціальні програми і заходи державних органів у справах молоді</t>
  </si>
  <si>
    <t xml:space="preserve">Субвенція з районного бюджету, за рахунок коштів обласного бюджету  для здійснення першочергових невідкладних заходів з ліквідації надзвичайної ситуації, пов"язаної з ускладненням погодних умов на території району 2014 року </t>
  </si>
  <si>
    <t>Дитячі будинки (в т.ч. сімейного типу, прийомні сім"ї), всього</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</si>
  <si>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</si>
  <si>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 - за рахунок субвенції з державного бюджету</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</si>
</sst>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59">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sz val="10"/>
      <color indexed="10"/>
      <name val="Times New Roman"/>
      <family val="1"/>
    </font>
    <font>
      <sz val="12"/>
      <color indexed="10"/>
      <name val="Times New Roman Cyr"/>
      <family val="1"/>
    </font>
    <font>
      <sz val="12"/>
      <color indexed="10"/>
      <name val="Times New Roman"/>
      <family val="1"/>
    </font>
    <font>
      <b/>
      <sz val="12"/>
      <color indexed="10"/>
      <name val="Times New Roman"/>
      <family val="1"/>
    </font>
    <font>
      <sz val="8"/>
      <color indexed="10"/>
      <name val="Times New Roman"/>
      <family val="1"/>
    </font>
    <font>
      <b/>
      <sz val="12"/>
      <name val="Times New Roman Cyr"/>
      <family val="0"/>
    </font>
    <font>
      <sz val="12"/>
      <name val="Times New Roman CYR"/>
      <family val="0"/>
    </font>
    <font>
      <sz val="16"/>
      <name val="Times New Roman"/>
      <family val="1"/>
    </font>
    <font>
      <sz val="14"/>
      <name val="Times New Roman"/>
      <family val="1"/>
    </font>
    <font>
      <sz val="12"/>
      <color indexed="8"/>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style="thin"/>
    </border>
    <border>
      <left style="thin"/>
      <right style="medium"/>
      <top style="thin"/>
      <bottom style="thin"/>
    </border>
    <border>
      <left style="thin"/>
      <right>
        <color indexed="63"/>
      </right>
      <top style="thin"/>
      <bottom style="thin"/>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6"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07">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0" fontId="9" fillId="0" borderId="0" xfId="0" applyFont="1" applyAlignment="1">
      <alignment/>
    </xf>
    <xf numFmtId="0" fontId="2"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vertical="top" wrapText="1"/>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49" fontId="14" fillId="0" borderId="0" xfId="0" applyNumberFormat="1" applyFont="1" applyAlignment="1">
      <alignment horizontal="center" vertical="top"/>
    </xf>
    <xf numFmtId="49" fontId="9" fillId="0" borderId="14" xfId="0" applyNumberFormat="1" applyFont="1" applyBorder="1" applyAlignment="1">
      <alignment horizontal="center" vertical="center" wrapText="1"/>
    </xf>
    <xf numFmtId="0" fontId="2" fillId="0" borderId="15" xfId="0" applyFont="1" applyBorder="1" applyAlignment="1">
      <alignment horizontal="center"/>
    </xf>
    <xf numFmtId="0" fontId="2" fillId="0" borderId="16" xfId="0" applyFont="1" applyBorder="1" applyAlignment="1">
      <alignment horizontal="center"/>
    </xf>
    <xf numFmtId="49" fontId="2" fillId="0" borderId="15" xfId="0" applyNumberFormat="1" applyFont="1" applyBorder="1" applyAlignment="1">
      <alignment horizontal="center" vertical="center" wrapText="1"/>
    </xf>
    <xf numFmtId="0" fontId="17" fillId="0" borderId="0" xfId="0" applyFont="1" applyAlignment="1">
      <alignment horizontal="left" vertical="top" wrapText="1"/>
    </xf>
    <xf numFmtId="0" fontId="17" fillId="0" borderId="0" xfId="0" applyFont="1" applyAlignment="1">
      <alignment horizontal="justify" vertical="top" wrapText="1"/>
    </xf>
    <xf numFmtId="49" fontId="10" fillId="0" borderId="0" xfId="0" applyNumberFormat="1" applyFont="1" applyAlignment="1">
      <alignment horizontal="center" vertical="top" wrapText="1"/>
    </xf>
    <xf numFmtId="0" fontId="10" fillId="0" borderId="0" xfId="0" applyFont="1" applyAlignment="1">
      <alignment horizontal="left" vertical="top" wrapText="1" shrinkToFit="1"/>
    </xf>
    <xf numFmtId="0" fontId="9" fillId="0" borderId="0" xfId="0" applyFont="1" applyAlignment="1">
      <alignment horizontal="justify" vertical="top" wrapText="1"/>
    </xf>
    <xf numFmtId="0" fontId="14" fillId="0" borderId="0" xfId="0" applyFont="1" applyAlignment="1" applyProtection="1">
      <alignment horizontal="left" vertical="top" wrapText="1"/>
      <protection locked="0"/>
    </xf>
    <xf numFmtId="0" fontId="9" fillId="0" borderId="0" xfId="0" applyFont="1" applyAlignment="1">
      <alignment vertical="top" wrapText="1"/>
    </xf>
    <xf numFmtId="0" fontId="17" fillId="0" borderId="0" xfId="0" applyFont="1" applyAlignment="1">
      <alignment vertical="top"/>
    </xf>
    <xf numFmtId="0" fontId="9" fillId="0" borderId="0" xfId="0" applyFont="1" applyAlignment="1">
      <alignment vertical="top"/>
    </xf>
    <xf numFmtId="0" fontId="2" fillId="0" borderId="0" xfId="0" applyFont="1" applyAlignment="1">
      <alignment vertical="top"/>
    </xf>
    <xf numFmtId="174" fontId="17" fillId="0" borderId="0" xfId="0" applyNumberFormat="1" applyFont="1" applyAlignment="1">
      <alignment vertical="top"/>
    </xf>
    <xf numFmtId="0" fontId="14" fillId="0" borderId="0" xfId="0" applyNumberFormat="1" applyFont="1" applyBorder="1" applyAlignment="1" applyProtection="1">
      <alignment horizontal="left" vertical="top"/>
      <protection locked="0"/>
    </xf>
    <xf numFmtId="49" fontId="19" fillId="0" borderId="0" xfId="0" applyNumberFormat="1" applyFont="1" applyAlignment="1">
      <alignment horizontal="center" vertical="top" wrapText="1"/>
    </xf>
    <xf numFmtId="174" fontId="10" fillId="0" borderId="0" xfId="0" applyNumberFormat="1" applyFont="1" applyAlignment="1">
      <alignment vertical="top"/>
    </xf>
    <xf numFmtId="0" fontId="19" fillId="0" borderId="0" xfId="0" applyFont="1" applyAlignment="1">
      <alignment horizontal="left" vertical="top" wrapText="1"/>
    </xf>
    <xf numFmtId="0" fontId="11" fillId="0" borderId="0" xfId="0" applyFont="1" applyAlignment="1">
      <alignment vertical="top"/>
    </xf>
    <xf numFmtId="174" fontId="11" fillId="0" borderId="0" xfId="0" applyNumberFormat="1" applyFont="1" applyAlignment="1">
      <alignment vertical="top"/>
    </xf>
    <xf numFmtId="0" fontId="14" fillId="0" borderId="0" xfId="0" applyFont="1" applyAlignment="1" applyProtection="1">
      <alignment horizontal="left" vertical="top"/>
      <protection locked="0"/>
    </xf>
    <xf numFmtId="49" fontId="20" fillId="0" borderId="0" xfId="0" applyNumberFormat="1" applyFont="1" applyAlignment="1">
      <alignment horizontal="center" vertical="top"/>
    </xf>
    <xf numFmtId="0" fontId="20" fillId="0" borderId="0" xfId="0" applyNumberFormat="1" applyFont="1" applyBorder="1" applyAlignment="1" applyProtection="1">
      <alignment horizontal="left" vertical="top"/>
      <protection locked="0"/>
    </xf>
    <xf numFmtId="49" fontId="16" fillId="0" borderId="0" xfId="0" applyNumberFormat="1" applyFont="1" applyAlignment="1">
      <alignment horizontal="center" vertical="top"/>
    </xf>
    <xf numFmtId="0" fontId="16" fillId="0" borderId="0" xfId="0" applyFont="1" applyAlignment="1" applyProtection="1">
      <alignment horizontal="left" vertical="top" wrapText="1"/>
      <protection locked="0"/>
    </xf>
    <xf numFmtId="174" fontId="2" fillId="0" borderId="0" xfId="0" applyNumberFormat="1" applyFont="1" applyAlignment="1">
      <alignment vertical="top"/>
    </xf>
    <xf numFmtId="0" fontId="24" fillId="0" borderId="0" xfId="0" applyFont="1" applyAlignment="1" applyProtection="1">
      <alignment horizontal="left" vertical="top"/>
      <protection locked="0"/>
    </xf>
    <xf numFmtId="0" fontId="24"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49" fontId="17" fillId="0" borderId="0" xfId="0" applyNumberFormat="1" applyFont="1" applyAlignment="1">
      <alignment horizontal="center" vertical="top" wrapText="1"/>
    </xf>
    <xf numFmtId="0" fontId="2" fillId="0" borderId="0" xfId="0" applyFont="1" applyAlignment="1">
      <alignment horizontal="left" vertical="top" wrapText="1"/>
    </xf>
    <xf numFmtId="0" fontId="21" fillId="0" borderId="0" xfId="0" applyFont="1" applyBorder="1" applyAlignment="1">
      <alignment vertical="top" wrapText="1"/>
    </xf>
    <xf numFmtId="174" fontId="9" fillId="0" borderId="0" xfId="0" applyNumberFormat="1" applyFont="1" applyFill="1" applyAlignment="1">
      <alignment vertical="top"/>
    </xf>
    <xf numFmtId="49" fontId="11" fillId="0" borderId="0" xfId="0" applyNumberFormat="1" applyFont="1" applyAlignment="1">
      <alignment horizontal="center" vertical="top" wrapText="1"/>
    </xf>
    <xf numFmtId="0" fontId="10" fillId="0" borderId="0" xfId="0" applyFont="1" applyAlignment="1">
      <alignment horizontal="left" vertical="top"/>
    </xf>
    <xf numFmtId="0" fontId="18" fillId="0" borderId="0" xfId="0" applyFont="1" applyAlignment="1">
      <alignment horizontal="left" vertical="top" wrapText="1"/>
    </xf>
    <xf numFmtId="174" fontId="18" fillId="0" borderId="0" xfId="0" applyNumberFormat="1" applyFont="1" applyAlignment="1">
      <alignment vertical="top"/>
    </xf>
    <xf numFmtId="173" fontId="9" fillId="0" borderId="0" xfId="0" applyNumberFormat="1" applyFont="1" applyAlignment="1" applyProtection="1">
      <alignment horizontal="center" vertical="top"/>
      <protection locked="0"/>
    </xf>
    <xf numFmtId="174" fontId="9" fillId="0" borderId="0" xfId="0" applyNumberFormat="1" applyFont="1" applyAlignment="1">
      <alignment horizontal="right" vertical="top"/>
    </xf>
    <xf numFmtId="0" fontId="13" fillId="0" borderId="0" xfId="0" applyFont="1" applyAlignment="1">
      <alignment horizontal="left" vertical="top" wrapText="1"/>
    </xf>
    <xf numFmtId="49" fontId="9" fillId="0" borderId="0" xfId="0" applyNumberFormat="1" applyFont="1" applyAlignment="1">
      <alignment horizontal="right" vertical="top" wrapText="1"/>
    </xf>
    <xf numFmtId="174" fontId="0" fillId="0" borderId="0" xfId="0" applyNumberFormat="1" applyFont="1" applyAlignment="1">
      <alignment vertical="top"/>
    </xf>
    <xf numFmtId="2" fontId="9" fillId="0" borderId="0" xfId="0" applyNumberFormat="1" applyFont="1" applyAlignment="1">
      <alignment vertical="top"/>
    </xf>
    <xf numFmtId="2" fontId="10" fillId="0" borderId="0" xfId="0" applyNumberFormat="1" applyFont="1" applyAlignment="1">
      <alignment vertical="top"/>
    </xf>
    <xf numFmtId="0" fontId="15" fillId="0" borderId="0" xfId="0" applyFont="1" applyAlignment="1">
      <alignment vertical="top"/>
    </xf>
    <xf numFmtId="0" fontId="9" fillId="0" borderId="0" xfId="0" applyFont="1" applyAlignment="1">
      <alignment horizontal="right" vertical="top" wrapText="1"/>
    </xf>
    <xf numFmtId="49" fontId="2" fillId="0" borderId="0" xfId="0" applyNumberFormat="1" applyFont="1" applyAlignment="1">
      <alignment horizontal="right" vertical="top" wrapText="1"/>
    </xf>
    <xf numFmtId="174" fontId="17" fillId="0" borderId="0" xfId="0" applyNumberFormat="1" applyFont="1" applyFill="1" applyAlignment="1">
      <alignment vertical="top"/>
    </xf>
    <xf numFmtId="174" fontId="15" fillId="0" borderId="0" xfId="0" applyNumberFormat="1" applyFont="1" applyFill="1" applyAlignment="1">
      <alignment vertical="top"/>
    </xf>
    <xf numFmtId="174" fontId="22" fillId="0" borderId="0" xfId="0" applyNumberFormat="1" applyFont="1" applyAlignment="1">
      <alignment vertical="top"/>
    </xf>
    <xf numFmtId="174" fontId="23" fillId="0" borderId="0" xfId="0" applyNumberFormat="1" applyFont="1" applyAlignment="1">
      <alignment vertical="top"/>
    </xf>
    <xf numFmtId="0" fontId="14" fillId="0" borderId="0" xfId="0" applyFont="1" applyAlignment="1" applyProtection="1">
      <alignment horizontal="left" wrapText="1"/>
      <protection locked="0"/>
    </xf>
    <xf numFmtId="49" fontId="14" fillId="0" borderId="0" xfId="0" applyNumberFormat="1" applyFont="1" applyAlignment="1">
      <alignment horizontal="center"/>
    </xf>
    <xf numFmtId="0" fontId="14" fillId="0" borderId="0" xfId="0" applyFont="1" applyAlignment="1" applyProtection="1">
      <alignment horizontal="left" wrapText="1"/>
      <protection locked="0"/>
    </xf>
    <xf numFmtId="0" fontId="9" fillId="0" borderId="0" xfId="0" applyNumberFormat="1" applyFont="1" applyAlignment="1">
      <alignment horizontal="justify" vertical="top" wrapText="1"/>
    </xf>
    <xf numFmtId="182" fontId="9" fillId="0" borderId="0" xfId="0" applyNumberFormat="1" applyFont="1" applyAlignment="1">
      <alignment vertical="top"/>
    </xf>
    <xf numFmtId="182" fontId="10" fillId="0" borderId="0" xfId="0" applyNumberFormat="1" applyFont="1" applyAlignment="1">
      <alignment vertical="top"/>
    </xf>
    <xf numFmtId="182" fontId="9" fillId="0" borderId="0" xfId="0" applyNumberFormat="1" applyFont="1" applyAlignment="1">
      <alignment horizontal="right" vertical="top"/>
    </xf>
    <xf numFmtId="183" fontId="9" fillId="0" borderId="0" xfId="0" applyNumberFormat="1" applyFont="1" applyAlignment="1">
      <alignment vertical="top"/>
    </xf>
    <xf numFmtId="182" fontId="10" fillId="0" borderId="0" xfId="0" applyNumberFormat="1" applyFont="1" applyAlignment="1">
      <alignment horizontal="right" vertical="top"/>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0" fontId="12" fillId="0" borderId="21" xfId="0" applyFont="1" applyBorder="1" applyAlignment="1">
      <alignment horizontal="center" vertical="center" wrapText="1"/>
    </xf>
    <xf numFmtId="0" fontId="0" fillId="0" borderId="22" xfId="0"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49" fontId="4" fillId="0" borderId="25"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13" fillId="0" borderId="0" xfId="0" applyFont="1" applyAlignment="1">
      <alignment horizontal="left" vertical="top" wrapText="1"/>
    </xf>
    <xf numFmtId="49" fontId="3" fillId="0" borderId="17" xfId="0" applyNumberFormat="1" applyFont="1" applyBorder="1" applyAlignment="1" applyProtection="1">
      <alignment horizontal="center" vertical="center" wrapText="1"/>
      <protection locked="0"/>
    </xf>
    <xf numFmtId="49" fontId="3" fillId="0" borderId="18"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22" xfId="0" applyFont="1" applyBorder="1" applyAlignment="1">
      <alignment horizontal="center" vertical="center" wrapText="1"/>
    </xf>
    <xf numFmtId="0" fontId="12" fillId="0" borderId="26" xfId="0" applyFont="1" applyBorder="1" applyAlignment="1">
      <alignment horizontal="center" vertical="center" wrapText="1"/>
    </xf>
    <xf numFmtId="49" fontId="9" fillId="0" borderId="27" xfId="0" applyNumberFormat="1" applyFont="1" applyBorder="1" applyAlignment="1">
      <alignment horizontal="center" vertical="center" wrapText="1"/>
    </xf>
    <xf numFmtId="49" fontId="9" fillId="0" borderId="28"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0" fontId="13" fillId="0" borderId="0" xfId="0" applyFont="1" applyAlignment="1">
      <alignment horizontal="righ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933"/>
  <sheetViews>
    <sheetView tabSelected="1" view="pageBreakPreview" zoomScale="70" zoomScaleNormal="70" zoomScaleSheetLayoutView="70" zoomScalePageLayoutView="50" workbookViewId="0" topLeftCell="A1">
      <pane ySplit="4230" topLeftCell="A80" activePane="bottomLeft" state="split"/>
      <selection pane="topLeft" activeCell="J36" sqref="J36"/>
      <selection pane="bottomLeft" activeCell="F82" sqref="F82"/>
    </sheetView>
  </sheetViews>
  <sheetFormatPr defaultColWidth="9.00390625" defaultRowHeight="12.75"/>
  <cols>
    <col min="1" max="1" width="12.625" style="1" customWidth="1"/>
    <col min="2" max="2" width="58.125" style="1" customWidth="1"/>
    <col min="3" max="3" width="18.00390625" style="1" customWidth="1"/>
    <col min="4" max="4" width="14.875" style="1" customWidth="1"/>
    <col min="5" max="5" width="13.75390625" style="1" customWidth="1"/>
    <col min="6" max="6" width="13.25390625" style="1" customWidth="1"/>
    <col min="7" max="7" width="13.125" style="1" customWidth="1"/>
    <col min="8" max="8" width="10.375" style="1" customWidth="1"/>
    <col min="9" max="9" width="10.25390625" style="1" customWidth="1"/>
    <col min="10" max="10" width="13.875" style="1" customWidth="1"/>
    <col min="11" max="11" width="12.875" style="1" customWidth="1"/>
    <col min="12" max="12" width="16.25390625" style="1" customWidth="1"/>
    <col min="13" max="13" width="19.25390625" style="1" customWidth="1"/>
    <col min="14" max="14" width="12.625" style="1" customWidth="1"/>
    <col min="15" max="15" width="9.125" style="1" customWidth="1"/>
    <col min="16" max="16" width="9.375" style="1" bestFit="1" customWidth="1"/>
    <col min="17" max="16384" width="9.125" style="1" customWidth="1"/>
  </cols>
  <sheetData>
    <row r="2" spans="9:13" ht="15.75">
      <c r="I2" s="1" t="s">
        <v>99</v>
      </c>
      <c r="L2" s="6" t="s">
        <v>180</v>
      </c>
      <c r="M2" s="6"/>
    </row>
    <row r="3" spans="9:13" ht="15.75">
      <c r="I3" s="1" t="s">
        <v>99</v>
      </c>
      <c r="L3" s="6" t="s">
        <v>82</v>
      </c>
      <c r="M3" s="6"/>
    </row>
    <row r="4" spans="9:13" ht="15.75">
      <c r="I4" s="1" t="s">
        <v>99</v>
      </c>
      <c r="L4" s="6" t="s">
        <v>173</v>
      </c>
      <c r="M4" s="6"/>
    </row>
    <row r="5" spans="12:13" ht="15.75">
      <c r="L5" s="6"/>
      <c r="M5" s="6"/>
    </row>
    <row r="6" spans="1:13" ht="20.25">
      <c r="A6" s="87" t="s">
        <v>188</v>
      </c>
      <c r="B6" s="87"/>
      <c r="C6" s="87"/>
      <c r="D6" s="87"/>
      <c r="E6" s="87"/>
      <c r="F6" s="87"/>
      <c r="G6" s="87"/>
      <c r="H6" s="87"/>
      <c r="I6" s="87"/>
      <c r="J6" s="87"/>
      <c r="K6" s="87"/>
      <c r="L6" s="87"/>
      <c r="M6" s="87"/>
    </row>
    <row r="7" ht="14.25" customHeight="1" thickBot="1">
      <c r="M7" s="1" t="s">
        <v>7</v>
      </c>
    </row>
    <row r="8" spans="1:13" ht="51" customHeight="1">
      <c r="A8" s="23" t="s">
        <v>178</v>
      </c>
      <c r="B8" s="20" t="s">
        <v>122</v>
      </c>
      <c r="C8" s="91" t="s">
        <v>30</v>
      </c>
      <c r="D8" s="92"/>
      <c r="E8" s="92"/>
      <c r="F8" s="91" t="s">
        <v>31</v>
      </c>
      <c r="G8" s="101"/>
      <c r="H8" s="101"/>
      <c r="I8" s="101"/>
      <c r="J8" s="101"/>
      <c r="K8" s="101"/>
      <c r="L8" s="102"/>
      <c r="M8" s="93" t="s">
        <v>130</v>
      </c>
    </row>
    <row r="9" spans="1:13" ht="12.75" customHeight="1">
      <c r="A9" s="81" t="s">
        <v>179</v>
      </c>
      <c r="B9" s="103" t="s">
        <v>123</v>
      </c>
      <c r="C9" s="98" t="s">
        <v>3</v>
      </c>
      <c r="D9" s="84" t="s">
        <v>4</v>
      </c>
      <c r="E9" s="84"/>
      <c r="F9" s="88" t="s">
        <v>3</v>
      </c>
      <c r="G9" s="84" t="s">
        <v>32</v>
      </c>
      <c r="H9" s="84" t="s">
        <v>4</v>
      </c>
      <c r="I9" s="84"/>
      <c r="J9" s="84" t="s">
        <v>33</v>
      </c>
      <c r="K9" s="95" t="s">
        <v>127</v>
      </c>
      <c r="L9" s="96"/>
      <c r="M9" s="94"/>
    </row>
    <row r="10" spans="1:13" ht="12.75" customHeight="1">
      <c r="A10" s="82"/>
      <c r="B10" s="104"/>
      <c r="C10" s="99"/>
      <c r="D10" s="85" t="s">
        <v>5</v>
      </c>
      <c r="E10" s="85" t="s">
        <v>6</v>
      </c>
      <c r="F10" s="88"/>
      <c r="G10" s="84"/>
      <c r="H10" s="85" t="s">
        <v>5</v>
      </c>
      <c r="I10" s="85" t="s">
        <v>6</v>
      </c>
      <c r="J10" s="84"/>
      <c r="K10" s="89" t="s">
        <v>128</v>
      </c>
      <c r="L10" s="17" t="s">
        <v>127</v>
      </c>
      <c r="M10" s="94"/>
    </row>
    <row r="11" spans="1:13" ht="87" customHeight="1">
      <c r="A11" s="83"/>
      <c r="B11" s="105"/>
      <c r="C11" s="100"/>
      <c r="D11" s="86"/>
      <c r="E11" s="86"/>
      <c r="F11" s="88"/>
      <c r="G11" s="84"/>
      <c r="H11" s="86"/>
      <c r="I11" s="86"/>
      <c r="J11" s="84"/>
      <c r="K11" s="90"/>
      <c r="L11" s="17" t="s">
        <v>129</v>
      </c>
      <c r="M11" s="94"/>
    </row>
    <row r="12" spans="1:13" ht="13.5" customHeight="1" thickBot="1">
      <c r="A12" s="21">
        <v>1</v>
      </c>
      <c r="B12" s="22">
        <v>2</v>
      </c>
      <c r="C12" s="2">
        <v>3</v>
      </c>
      <c r="D12" s="2">
        <v>4</v>
      </c>
      <c r="E12" s="2">
        <v>5</v>
      </c>
      <c r="F12" s="3">
        <v>6</v>
      </c>
      <c r="G12" s="3">
        <v>7</v>
      </c>
      <c r="H12" s="3">
        <v>8</v>
      </c>
      <c r="I12" s="3">
        <v>9</v>
      </c>
      <c r="J12" s="3">
        <v>10</v>
      </c>
      <c r="K12" s="12">
        <v>11</v>
      </c>
      <c r="L12" s="12">
        <v>12</v>
      </c>
      <c r="M12" s="4">
        <v>13</v>
      </c>
    </row>
    <row r="13" spans="1:14" ht="19.5" customHeight="1">
      <c r="A13" s="16" t="s">
        <v>155</v>
      </c>
      <c r="B13" s="8" t="s">
        <v>34</v>
      </c>
      <c r="C13" s="31"/>
      <c r="D13" s="32"/>
      <c r="E13" s="32"/>
      <c r="F13" s="33"/>
      <c r="G13" s="33"/>
      <c r="H13" s="33"/>
      <c r="I13" s="33"/>
      <c r="J13" s="33"/>
      <c r="K13" s="33"/>
      <c r="L13" s="33"/>
      <c r="M13" s="33"/>
      <c r="N13" s="33"/>
    </row>
    <row r="14" spans="1:14" ht="15.75">
      <c r="A14" s="16" t="s">
        <v>121</v>
      </c>
      <c r="B14" s="9" t="s">
        <v>26</v>
      </c>
      <c r="C14" s="18">
        <f>1030.155+6+18.658-10.068+3.69+12-4.549</f>
        <v>1055.886</v>
      </c>
      <c r="D14" s="18">
        <f>627.6-7.389-1.149</f>
        <v>619.062</v>
      </c>
      <c r="E14" s="18">
        <f>82.255+3.69+1.5</f>
        <v>87.445</v>
      </c>
      <c r="F14" s="18">
        <f>G14+J14</f>
        <v>2</v>
      </c>
      <c r="G14" s="18">
        <v>2</v>
      </c>
      <c r="H14" s="18"/>
      <c r="I14" s="18"/>
      <c r="J14" s="18"/>
      <c r="K14" s="18"/>
      <c r="L14" s="18"/>
      <c r="M14" s="18">
        <f>SUM(C14,F14)</f>
        <v>1057.886</v>
      </c>
      <c r="N14" s="33"/>
    </row>
    <row r="15" spans="1:14" ht="15.75" customHeight="1">
      <c r="A15" s="26" t="s">
        <v>19</v>
      </c>
      <c r="B15" s="9" t="s">
        <v>35</v>
      </c>
      <c r="C15" s="79">
        <f>C16+C17</f>
        <v>32.82261</v>
      </c>
      <c r="D15" s="31"/>
      <c r="E15" s="34"/>
      <c r="F15" s="18"/>
      <c r="G15" s="18"/>
      <c r="H15" s="18"/>
      <c r="I15" s="18"/>
      <c r="J15" s="18"/>
      <c r="K15" s="18"/>
      <c r="L15" s="18"/>
      <c r="M15" s="79">
        <f>SUM(C15,F15)</f>
        <v>32.82261</v>
      </c>
      <c r="N15" s="33"/>
    </row>
    <row r="16" spans="1:14" ht="15.75" customHeight="1">
      <c r="A16" s="16" t="s">
        <v>27</v>
      </c>
      <c r="B16" s="35" t="s">
        <v>25</v>
      </c>
      <c r="C16" s="79">
        <f>54.625-30.80239</f>
        <v>23.82261</v>
      </c>
      <c r="D16" s="31"/>
      <c r="E16" s="34"/>
      <c r="F16" s="18"/>
      <c r="G16" s="18"/>
      <c r="H16" s="18"/>
      <c r="I16" s="18"/>
      <c r="J16" s="18"/>
      <c r="K16" s="18"/>
      <c r="L16" s="18"/>
      <c r="M16" s="79">
        <f>SUM(C16,F16)</f>
        <v>23.82261</v>
      </c>
      <c r="N16" s="33"/>
    </row>
    <row r="17" spans="1:14" ht="15.75" customHeight="1">
      <c r="A17" s="16" t="s">
        <v>36</v>
      </c>
      <c r="B17" s="35" t="s">
        <v>141</v>
      </c>
      <c r="C17" s="18">
        <f>40-32+1</f>
        <v>9</v>
      </c>
      <c r="D17" s="31"/>
      <c r="E17" s="34"/>
      <c r="F17" s="18"/>
      <c r="G17" s="18"/>
      <c r="H17" s="18"/>
      <c r="I17" s="18"/>
      <c r="J17" s="18"/>
      <c r="K17" s="18"/>
      <c r="L17" s="18"/>
      <c r="M17" s="18">
        <f>SUM(C17,F17)</f>
        <v>9</v>
      </c>
      <c r="N17" s="33"/>
    </row>
    <row r="18" spans="1:14" ht="18" customHeight="1">
      <c r="A18" s="36"/>
      <c r="B18" s="8" t="s">
        <v>3</v>
      </c>
      <c r="C18" s="37">
        <f>C14+C15</f>
        <v>1088.70861</v>
      </c>
      <c r="D18" s="37">
        <f>D14+D15</f>
        <v>619.062</v>
      </c>
      <c r="E18" s="37">
        <f>E14+E15</f>
        <v>87.445</v>
      </c>
      <c r="F18" s="37">
        <f>G18+J18</f>
        <v>2</v>
      </c>
      <c r="G18" s="37">
        <f>G14+G15</f>
        <v>2</v>
      </c>
      <c r="H18" s="37"/>
      <c r="I18" s="37"/>
      <c r="J18" s="37">
        <f>J14+J15</f>
        <v>0</v>
      </c>
      <c r="K18" s="37">
        <f>K14+K15</f>
        <v>0</v>
      </c>
      <c r="L18" s="37">
        <f>L14+L15</f>
        <v>0</v>
      </c>
      <c r="M18" s="37">
        <f>SUM(C18,F18)</f>
        <v>1090.70861</v>
      </c>
      <c r="N18" s="33"/>
    </row>
    <row r="19" spans="1:14" s="10" customFormat="1" ht="15.75">
      <c r="A19" s="36"/>
      <c r="B19" s="38"/>
      <c r="C19" s="34"/>
      <c r="D19" s="34"/>
      <c r="E19" s="34"/>
      <c r="F19" s="34"/>
      <c r="G19" s="34"/>
      <c r="H19" s="34"/>
      <c r="I19" s="34"/>
      <c r="J19" s="34"/>
      <c r="K19" s="34"/>
      <c r="L19" s="34"/>
      <c r="M19" s="34"/>
      <c r="N19" s="39"/>
    </row>
    <row r="20" spans="1:14" s="10" customFormat="1" ht="15.75">
      <c r="A20" s="16" t="s">
        <v>156</v>
      </c>
      <c r="B20" s="8" t="s">
        <v>37</v>
      </c>
      <c r="C20" s="34"/>
      <c r="D20" s="34"/>
      <c r="E20" s="34"/>
      <c r="F20" s="34"/>
      <c r="G20" s="34"/>
      <c r="H20" s="34"/>
      <c r="I20" s="34"/>
      <c r="J20" s="34"/>
      <c r="K20" s="34"/>
      <c r="L20" s="34"/>
      <c r="M20" s="34"/>
      <c r="N20" s="40"/>
    </row>
    <row r="21" spans="1:14" s="10" customFormat="1" ht="15.75">
      <c r="A21" s="16" t="s">
        <v>49</v>
      </c>
      <c r="B21" s="41" t="s">
        <v>50</v>
      </c>
      <c r="C21" s="18">
        <v>57.98</v>
      </c>
      <c r="D21" s="34"/>
      <c r="E21" s="34"/>
      <c r="F21" s="34"/>
      <c r="G21" s="34"/>
      <c r="H21" s="34"/>
      <c r="I21" s="34"/>
      <c r="J21" s="34"/>
      <c r="K21" s="34"/>
      <c r="L21" s="34"/>
      <c r="M21" s="18">
        <f aca="true" t="shared" si="0" ref="M21:M28">SUM(C21,F21)</f>
        <v>57.98</v>
      </c>
      <c r="N21" s="40"/>
    </row>
    <row r="22" spans="1:14" s="10" customFormat="1" ht="15.75">
      <c r="A22" s="42" t="s">
        <v>38</v>
      </c>
      <c r="B22" s="43" t="s">
        <v>174</v>
      </c>
      <c r="C22" s="37">
        <f>C23+C25</f>
        <v>19070.386</v>
      </c>
      <c r="D22" s="37">
        <f>D23+D25</f>
        <v>7136.588</v>
      </c>
      <c r="E22" s="37">
        <f>E23+E25</f>
        <v>1501.0900000000001</v>
      </c>
      <c r="F22" s="37">
        <f>G22+J22</f>
        <v>545.755</v>
      </c>
      <c r="G22" s="37">
        <f aca="true" t="shared" si="1" ref="G22:L22">G23+G25+G26</f>
        <v>358.4</v>
      </c>
      <c r="H22" s="37">
        <f t="shared" si="1"/>
        <v>130</v>
      </c>
      <c r="I22" s="37">
        <f t="shared" si="1"/>
        <v>0</v>
      </c>
      <c r="J22" s="37">
        <f t="shared" si="1"/>
        <v>187.35500000000002</v>
      </c>
      <c r="K22" s="37">
        <f t="shared" si="1"/>
        <v>187.35500000000002</v>
      </c>
      <c r="L22" s="37">
        <f t="shared" si="1"/>
        <v>138.5</v>
      </c>
      <c r="M22" s="37">
        <f t="shared" si="0"/>
        <v>19616.141</v>
      </c>
      <c r="N22" s="40"/>
    </row>
    <row r="23" spans="1:14" s="10" customFormat="1" ht="15.75">
      <c r="A23" s="19" t="s">
        <v>39</v>
      </c>
      <c r="B23" s="29" t="s">
        <v>138</v>
      </c>
      <c r="C23" s="18">
        <f>12961.89+0.8+105.883+153+1.9-441.7+141.69+210</f>
        <v>13133.462999999998</v>
      </c>
      <c r="D23" s="18">
        <f>7238.4-322.812+221</f>
        <v>7136.588</v>
      </c>
      <c r="E23" s="18">
        <f>1266.4+141.69+93</f>
        <v>1501.0900000000001</v>
      </c>
      <c r="F23" s="18">
        <f>G23+J23</f>
        <v>528.855</v>
      </c>
      <c r="G23" s="18">
        <v>350</v>
      </c>
      <c r="H23" s="18">
        <v>130</v>
      </c>
      <c r="I23" s="34"/>
      <c r="J23" s="18">
        <f>198.3+100+30+102.1+248.855-300.4-200</f>
        <v>178.85500000000002</v>
      </c>
      <c r="K23" s="18">
        <f>198.3+100+30+102.1+248.855-300.4-200</f>
        <v>178.85500000000002</v>
      </c>
      <c r="L23" s="18">
        <f>198.3+100+30+102.1-300.4</f>
        <v>130</v>
      </c>
      <c r="M23" s="18">
        <f t="shared" si="0"/>
        <v>13662.317999999997</v>
      </c>
      <c r="N23" s="40"/>
    </row>
    <row r="24" spans="1:14" s="10" customFormat="1" ht="18" customHeight="1">
      <c r="A24" s="19"/>
      <c r="B24" s="29" t="s">
        <v>182</v>
      </c>
      <c r="C24" s="18"/>
      <c r="D24" s="18"/>
      <c r="E24" s="18"/>
      <c r="F24" s="18">
        <f>G24+J24</f>
        <v>0</v>
      </c>
      <c r="G24" s="18"/>
      <c r="H24" s="18"/>
      <c r="I24" s="18"/>
      <c r="J24" s="18"/>
      <c r="K24" s="18"/>
      <c r="L24" s="18"/>
      <c r="M24" s="18">
        <f t="shared" si="0"/>
        <v>0</v>
      </c>
      <c r="N24" s="40"/>
    </row>
    <row r="25" spans="1:14" s="10" customFormat="1" ht="31.5" customHeight="1">
      <c r="A25" s="19" t="s">
        <v>167</v>
      </c>
      <c r="B25" s="29" t="s">
        <v>168</v>
      </c>
      <c r="C25" s="18">
        <f>6057.867+180+1.716+18-384+33.34+30</f>
        <v>5936.923000000001</v>
      </c>
      <c r="D25" s="18">
        <f>3785.5+132.45-3917.95</f>
        <v>0</v>
      </c>
      <c r="E25" s="18">
        <f>392.7-392.7</f>
        <v>0</v>
      </c>
      <c r="F25" s="18">
        <f>G25+J25</f>
        <v>16.9</v>
      </c>
      <c r="G25" s="18">
        <v>8.4</v>
      </c>
      <c r="H25" s="18"/>
      <c r="I25" s="18"/>
      <c r="J25" s="18">
        <f>2.5+6</f>
        <v>8.5</v>
      </c>
      <c r="K25" s="18">
        <f>2.5+6</f>
        <v>8.5</v>
      </c>
      <c r="L25" s="18">
        <f>2.5+6</f>
        <v>8.5</v>
      </c>
      <c r="M25" s="18">
        <f t="shared" si="0"/>
        <v>5953.823</v>
      </c>
      <c r="N25" s="40"/>
    </row>
    <row r="26" spans="1:14" s="10" customFormat="1" ht="19.5" customHeight="1" hidden="1">
      <c r="A26" s="44"/>
      <c r="B26" s="45"/>
      <c r="C26" s="34"/>
      <c r="D26" s="34"/>
      <c r="E26" s="34"/>
      <c r="F26" s="34"/>
      <c r="G26" s="34"/>
      <c r="H26" s="34"/>
      <c r="I26" s="34"/>
      <c r="J26" s="34"/>
      <c r="K26" s="34"/>
      <c r="L26" s="34"/>
      <c r="M26" s="34">
        <f t="shared" si="0"/>
        <v>0</v>
      </c>
      <c r="N26" s="40"/>
    </row>
    <row r="27" spans="1:14" s="10" customFormat="1" ht="10.5" customHeight="1">
      <c r="A27" s="44"/>
      <c r="B27" s="45"/>
      <c r="C27" s="34"/>
      <c r="D27" s="34"/>
      <c r="E27" s="34"/>
      <c r="F27" s="34"/>
      <c r="G27" s="34"/>
      <c r="H27" s="34"/>
      <c r="I27" s="34"/>
      <c r="J27" s="34"/>
      <c r="K27" s="34"/>
      <c r="L27" s="34"/>
      <c r="M27" s="34"/>
      <c r="N27" s="40"/>
    </row>
    <row r="28" spans="1:14" s="10" customFormat="1" ht="21.75" customHeight="1">
      <c r="A28" s="19" t="s">
        <v>189</v>
      </c>
      <c r="B28" s="72" t="s">
        <v>190</v>
      </c>
      <c r="C28" s="18">
        <f>0.5+0.6+7.5+0.4+0.2</f>
        <v>9.2</v>
      </c>
      <c r="D28" s="34"/>
      <c r="E28" s="34"/>
      <c r="F28" s="34"/>
      <c r="G28" s="34"/>
      <c r="H28" s="34"/>
      <c r="I28" s="34"/>
      <c r="J28" s="34"/>
      <c r="K28" s="34"/>
      <c r="L28" s="34"/>
      <c r="M28" s="18">
        <f t="shared" si="0"/>
        <v>9.2</v>
      </c>
      <c r="N28" s="40"/>
    </row>
    <row r="29" spans="1:14" s="10" customFormat="1" ht="53.25" customHeight="1">
      <c r="A29" s="19" t="s">
        <v>165</v>
      </c>
      <c r="B29" s="13" t="s">
        <v>166</v>
      </c>
      <c r="C29" s="18"/>
      <c r="D29" s="18"/>
      <c r="E29" s="18"/>
      <c r="F29" s="18">
        <f>G29+J29</f>
        <v>538.284</v>
      </c>
      <c r="G29" s="18">
        <f>124.7+40.199</f>
        <v>164.899</v>
      </c>
      <c r="H29" s="18"/>
      <c r="I29" s="18"/>
      <c r="J29" s="18">
        <f>264.9+108.485</f>
        <v>373.385</v>
      </c>
      <c r="K29" s="18"/>
      <c r="L29" s="18"/>
      <c r="M29" s="18">
        <f>SUM(C29,F29)</f>
        <v>538.284</v>
      </c>
      <c r="N29" s="40"/>
    </row>
    <row r="30" spans="1:14" s="10" customFormat="1" ht="18" customHeight="1">
      <c r="A30" s="73" t="s">
        <v>191</v>
      </c>
      <c r="B30" s="74" t="s">
        <v>192</v>
      </c>
      <c r="C30" s="18">
        <f>4.122+51+1.415+30.827-4.971</f>
        <v>82.393</v>
      </c>
      <c r="D30" s="18"/>
      <c r="E30" s="18"/>
      <c r="F30" s="18"/>
      <c r="G30" s="18"/>
      <c r="H30" s="18"/>
      <c r="I30" s="18"/>
      <c r="J30" s="18"/>
      <c r="K30" s="18"/>
      <c r="L30" s="18"/>
      <c r="M30" s="18">
        <f>SUM(C30,F30)</f>
        <v>82.393</v>
      </c>
      <c r="N30" s="40"/>
    </row>
    <row r="31" spans="1:14" s="10" customFormat="1" ht="18.75" customHeight="1">
      <c r="A31" s="73"/>
      <c r="B31" s="74" t="s">
        <v>193</v>
      </c>
      <c r="C31" s="18"/>
      <c r="D31" s="18"/>
      <c r="E31" s="18"/>
      <c r="F31" s="18"/>
      <c r="G31" s="18"/>
      <c r="H31" s="18"/>
      <c r="I31" s="18"/>
      <c r="J31" s="18"/>
      <c r="K31" s="18"/>
      <c r="L31" s="18"/>
      <c r="M31" s="18"/>
      <c r="N31" s="40"/>
    </row>
    <row r="32" spans="1:14" s="10" customFormat="1" ht="84" customHeight="1">
      <c r="A32" s="19" t="s">
        <v>161</v>
      </c>
      <c r="B32" s="29" t="s">
        <v>205</v>
      </c>
      <c r="C32" s="18">
        <v>4.971</v>
      </c>
      <c r="D32" s="18"/>
      <c r="E32" s="18"/>
      <c r="F32" s="18"/>
      <c r="G32" s="18"/>
      <c r="H32" s="18"/>
      <c r="I32" s="18"/>
      <c r="J32" s="18"/>
      <c r="K32" s="18"/>
      <c r="L32" s="18"/>
      <c r="M32" s="18">
        <f>SUM(C32,F32)</f>
        <v>4.971</v>
      </c>
      <c r="N32" s="40"/>
    </row>
    <row r="33" spans="1:14" s="10" customFormat="1" ht="33" customHeight="1">
      <c r="A33" s="19" t="s">
        <v>22</v>
      </c>
      <c r="B33" s="29" t="s">
        <v>83</v>
      </c>
      <c r="C33" s="18">
        <f>162+7.104</f>
        <v>169.104</v>
      </c>
      <c r="D33" s="31"/>
      <c r="E33" s="34"/>
      <c r="F33" s="34"/>
      <c r="G33" s="34"/>
      <c r="H33" s="34"/>
      <c r="I33" s="34"/>
      <c r="J33" s="34"/>
      <c r="K33" s="34"/>
      <c r="L33" s="34"/>
      <c r="M33" s="18">
        <f>SUM(C33,F33)</f>
        <v>169.104</v>
      </c>
      <c r="N33" s="40"/>
    </row>
    <row r="34" spans="1:14" s="10" customFormat="1" ht="71.25" customHeight="1">
      <c r="A34" s="19" t="s">
        <v>22</v>
      </c>
      <c r="B34" s="29" t="s">
        <v>202</v>
      </c>
      <c r="C34" s="18">
        <v>20</v>
      </c>
      <c r="D34" s="31"/>
      <c r="E34" s="34"/>
      <c r="F34" s="34"/>
      <c r="G34" s="34"/>
      <c r="H34" s="34"/>
      <c r="I34" s="34"/>
      <c r="J34" s="34"/>
      <c r="K34" s="34"/>
      <c r="L34" s="34"/>
      <c r="M34" s="18">
        <f>SUM(C34,F34)</f>
        <v>20</v>
      </c>
      <c r="N34" s="40"/>
    </row>
    <row r="35" spans="1:14" ht="15.75">
      <c r="A35" s="36"/>
      <c r="B35" s="8" t="s">
        <v>10</v>
      </c>
      <c r="C35" s="37">
        <f>C22+C21+C33+C28+C30+C34+C32</f>
        <v>19414.034</v>
      </c>
      <c r="D35" s="37">
        <f>D22+D21+D33+D28+D30</f>
        <v>7136.588</v>
      </c>
      <c r="E35" s="37">
        <f>E22+E21+E33+E28+E30</f>
        <v>1501.0900000000001</v>
      </c>
      <c r="F35" s="37">
        <f>G35+J35</f>
        <v>1084.039</v>
      </c>
      <c r="G35" s="37">
        <f aca="true" t="shared" si="2" ref="G35:L35">G22+G33+G29</f>
        <v>523.299</v>
      </c>
      <c r="H35" s="37">
        <f t="shared" si="2"/>
        <v>130</v>
      </c>
      <c r="I35" s="37">
        <f t="shared" si="2"/>
        <v>0</v>
      </c>
      <c r="J35" s="37">
        <f t="shared" si="2"/>
        <v>560.74</v>
      </c>
      <c r="K35" s="37">
        <f t="shared" si="2"/>
        <v>187.35500000000002</v>
      </c>
      <c r="L35" s="37">
        <f t="shared" si="2"/>
        <v>138.5</v>
      </c>
      <c r="M35" s="37">
        <f>SUM(C35,F35)</f>
        <v>20498.073</v>
      </c>
      <c r="N35" s="46"/>
    </row>
    <row r="36" spans="1:14" ht="15.75">
      <c r="A36" s="16" t="s">
        <v>157</v>
      </c>
      <c r="B36" s="27" t="s">
        <v>175</v>
      </c>
      <c r="C36" s="34"/>
      <c r="D36" s="34"/>
      <c r="E36" s="34"/>
      <c r="F36" s="34"/>
      <c r="G36" s="34"/>
      <c r="H36" s="34"/>
      <c r="I36" s="34"/>
      <c r="J36" s="34"/>
      <c r="K36" s="34"/>
      <c r="L36" s="34"/>
      <c r="M36" s="34"/>
      <c r="N36" s="46"/>
    </row>
    <row r="37" spans="1:14" ht="15.75">
      <c r="A37" s="26" t="s">
        <v>45</v>
      </c>
      <c r="B37" s="8" t="s">
        <v>11</v>
      </c>
      <c r="C37" s="37">
        <f>C38+C40+C41+C42+C43+C44+C45+C46</f>
        <v>48325.412000000004</v>
      </c>
      <c r="D37" s="37">
        <f>D38+D40+D41+D42+D43+D44+D45+D46</f>
        <v>29665.697999999997</v>
      </c>
      <c r="E37" s="37">
        <f>E38+E40+E41+E42+E43+E44+E45+E46</f>
        <v>4563.983</v>
      </c>
      <c r="F37" s="37">
        <f>G37+J37</f>
        <v>142.851</v>
      </c>
      <c r="G37" s="37">
        <f aca="true" t="shared" si="3" ref="G37:L37">G38+G40+G41+G44+G45+G46</f>
        <v>25.7</v>
      </c>
      <c r="H37" s="37">
        <f t="shared" si="3"/>
        <v>0</v>
      </c>
      <c r="I37" s="37">
        <f t="shared" si="3"/>
        <v>0</v>
      </c>
      <c r="J37" s="37">
        <f t="shared" si="3"/>
        <v>117.15100000000001</v>
      </c>
      <c r="K37" s="37">
        <f t="shared" si="3"/>
        <v>117.15100000000001</v>
      </c>
      <c r="L37" s="37">
        <f t="shared" si="3"/>
        <v>113.285</v>
      </c>
      <c r="M37" s="37">
        <f>SUM(C37,F37)</f>
        <v>48468.263000000006</v>
      </c>
      <c r="N37" s="46"/>
    </row>
    <row r="38" spans="1:14" ht="47.25">
      <c r="A38" s="19" t="s">
        <v>46</v>
      </c>
      <c r="B38" s="29" t="s">
        <v>164</v>
      </c>
      <c r="C38" s="18">
        <f>44743.114+194.117+5+18-0.04-2570.193+566.82+10+9+8-107.9</f>
        <v>42875.918</v>
      </c>
      <c r="D38" s="18">
        <f>28210.317-1337.965-53</f>
        <v>26819.352</v>
      </c>
      <c r="E38" s="18">
        <f>40.175+647.776+2571.008+434.94+566.82-17</f>
        <v>4243.719</v>
      </c>
      <c r="F38" s="18">
        <f>G38+J38</f>
        <v>127.85100000000001</v>
      </c>
      <c r="G38" s="18">
        <v>10.7</v>
      </c>
      <c r="H38" s="18"/>
      <c r="I38" s="18"/>
      <c r="J38" s="18">
        <f>170.1+73.285+3.866-170.1+40</f>
        <v>117.15100000000001</v>
      </c>
      <c r="K38" s="18">
        <f>170.1+73.285+3.866-170.1+40</f>
        <v>117.15100000000001</v>
      </c>
      <c r="L38" s="18">
        <f>170.1+73.285-170.1+40</f>
        <v>113.285</v>
      </c>
      <c r="M38" s="18">
        <f aca="true" t="shared" si="4" ref="M38:M52">SUM(C38,F38)</f>
        <v>43003.769</v>
      </c>
      <c r="N38" s="46"/>
    </row>
    <row r="39" spans="1:14" ht="15.75">
      <c r="A39" s="19"/>
      <c r="B39" s="29" t="s">
        <v>182</v>
      </c>
      <c r="C39" s="18"/>
      <c r="D39" s="18"/>
      <c r="E39" s="18"/>
      <c r="F39" s="34"/>
      <c r="G39" s="34"/>
      <c r="H39" s="34"/>
      <c r="I39" s="34"/>
      <c r="J39" s="34"/>
      <c r="K39" s="34"/>
      <c r="L39" s="34"/>
      <c r="M39" s="18">
        <f t="shared" si="4"/>
        <v>0</v>
      </c>
      <c r="N39" s="46"/>
    </row>
    <row r="40" spans="1:14" ht="31.5">
      <c r="A40" s="19" t="s">
        <v>47</v>
      </c>
      <c r="B40" s="29" t="s">
        <v>140</v>
      </c>
      <c r="C40" s="18">
        <f>1736.446+12.815-3.311-10+16.34-4+1</f>
        <v>1749.29</v>
      </c>
      <c r="D40" s="18">
        <f>1087.282-17.929-7.342</f>
        <v>1062.0109999999997</v>
      </c>
      <c r="E40" s="18">
        <f>0.446+26.018+73.989+16.34</f>
        <v>116.793</v>
      </c>
      <c r="F40" s="18">
        <f>G40+J40</f>
        <v>15</v>
      </c>
      <c r="G40" s="18">
        <v>15</v>
      </c>
      <c r="H40" s="34"/>
      <c r="I40" s="34"/>
      <c r="J40" s="34"/>
      <c r="K40" s="34"/>
      <c r="L40" s="34"/>
      <c r="M40" s="18">
        <f t="shared" si="4"/>
        <v>1764.29</v>
      </c>
      <c r="N40" s="46"/>
    </row>
    <row r="41" spans="1:14" ht="18" customHeight="1">
      <c r="A41" s="19" t="s">
        <v>48</v>
      </c>
      <c r="B41" s="41" t="s">
        <v>139</v>
      </c>
      <c r="C41" s="18">
        <f>597.499+8.851-13.852+4.51</f>
        <v>597.008</v>
      </c>
      <c r="D41" s="18">
        <f>415.61-10.573</f>
        <v>405.03700000000003</v>
      </c>
      <c r="E41" s="18">
        <f>0.446+15.939+13.388+4.51</f>
        <v>34.283</v>
      </c>
      <c r="F41" s="18"/>
      <c r="G41" s="34"/>
      <c r="H41" s="34"/>
      <c r="I41" s="34"/>
      <c r="J41" s="34"/>
      <c r="K41" s="34"/>
      <c r="L41" s="34"/>
      <c r="M41" s="18">
        <f>SUM(C41,F41)</f>
        <v>597.008</v>
      </c>
      <c r="N41" s="46"/>
    </row>
    <row r="42" spans="1:14" ht="18" customHeight="1">
      <c r="A42" s="19" t="s">
        <v>184</v>
      </c>
      <c r="B42" s="47" t="s">
        <v>185</v>
      </c>
      <c r="C42" s="18">
        <f>18.804+5.486</f>
        <v>24.29</v>
      </c>
      <c r="D42" s="18">
        <v>13.939</v>
      </c>
      <c r="E42" s="18"/>
      <c r="F42" s="18"/>
      <c r="G42" s="34"/>
      <c r="H42" s="34"/>
      <c r="I42" s="34"/>
      <c r="J42" s="34"/>
      <c r="K42" s="34"/>
      <c r="L42" s="34"/>
      <c r="M42" s="18">
        <f>SUM(C42,F42)</f>
        <v>24.29</v>
      </c>
      <c r="N42" s="46"/>
    </row>
    <row r="43" spans="1:14" ht="18" customHeight="1">
      <c r="A43" s="19" t="s">
        <v>186</v>
      </c>
      <c r="B43" s="48" t="s">
        <v>187</v>
      </c>
      <c r="C43" s="18">
        <f>14.374+17.983</f>
        <v>32.357</v>
      </c>
      <c r="D43" s="18">
        <v>10.832</v>
      </c>
      <c r="E43" s="18"/>
      <c r="F43" s="18"/>
      <c r="G43" s="34"/>
      <c r="H43" s="34"/>
      <c r="I43" s="34"/>
      <c r="J43" s="34"/>
      <c r="K43" s="34"/>
      <c r="L43" s="34"/>
      <c r="M43" s="18">
        <f>SUM(C43,F43)</f>
        <v>32.357</v>
      </c>
      <c r="N43" s="46"/>
    </row>
    <row r="44" spans="1:14" ht="17.25" customHeight="1">
      <c r="A44" s="19" t="s">
        <v>162</v>
      </c>
      <c r="B44" s="41" t="s">
        <v>163</v>
      </c>
      <c r="C44" s="18">
        <f>2191.661-33.178+1.088-23.312-40+15.87</f>
        <v>2112.1290000000004</v>
      </c>
      <c r="D44" s="18">
        <f>1426.07-24.771-17.23-29.542</f>
        <v>1354.527</v>
      </c>
      <c r="E44" s="18">
        <f>1.409+67.11+84.799+15.87</f>
        <v>169.18800000000002</v>
      </c>
      <c r="F44" s="34"/>
      <c r="G44" s="34"/>
      <c r="H44" s="34"/>
      <c r="I44" s="34"/>
      <c r="J44" s="34"/>
      <c r="K44" s="34"/>
      <c r="L44" s="34"/>
      <c r="M44" s="18">
        <f t="shared" si="4"/>
        <v>2112.1290000000004</v>
      </c>
      <c r="N44" s="46"/>
    </row>
    <row r="45" spans="1:14" ht="15.75">
      <c r="A45" s="19" t="s">
        <v>49</v>
      </c>
      <c r="B45" s="41" t="s">
        <v>50</v>
      </c>
      <c r="C45" s="18">
        <f>760.26+30.82+5+31+16.1+26+5+34.9</f>
        <v>909.08</v>
      </c>
      <c r="D45" s="18"/>
      <c r="E45" s="18"/>
      <c r="F45" s="34"/>
      <c r="G45" s="34"/>
      <c r="H45" s="34"/>
      <c r="I45" s="34"/>
      <c r="J45" s="34"/>
      <c r="K45" s="34"/>
      <c r="L45" s="34"/>
      <c r="M45" s="18">
        <f>SUM(C45,F45)</f>
        <v>909.08</v>
      </c>
      <c r="N45" s="46"/>
    </row>
    <row r="46" spans="1:14" ht="31.5">
      <c r="A46" s="19" t="s">
        <v>51</v>
      </c>
      <c r="B46" s="29" t="s">
        <v>111</v>
      </c>
      <c r="C46" s="18">
        <f>25.3+0.04</f>
        <v>25.34</v>
      </c>
      <c r="D46" s="18"/>
      <c r="E46" s="18"/>
      <c r="F46" s="34"/>
      <c r="G46" s="34"/>
      <c r="H46" s="34"/>
      <c r="I46" s="34"/>
      <c r="J46" s="34"/>
      <c r="K46" s="34"/>
      <c r="L46" s="34"/>
      <c r="M46" s="18">
        <f t="shared" si="4"/>
        <v>25.34</v>
      </c>
      <c r="N46" s="46"/>
    </row>
    <row r="47" spans="1:14" ht="31.5">
      <c r="A47" s="19" t="s">
        <v>203</v>
      </c>
      <c r="B47" s="72" t="s">
        <v>204</v>
      </c>
      <c r="C47" s="18">
        <v>6</v>
      </c>
      <c r="D47" s="18"/>
      <c r="E47" s="18"/>
      <c r="F47" s="34"/>
      <c r="G47" s="34"/>
      <c r="H47" s="34"/>
      <c r="I47" s="34"/>
      <c r="J47" s="34"/>
      <c r="K47" s="34"/>
      <c r="L47" s="34"/>
      <c r="M47" s="18">
        <f t="shared" si="4"/>
        <v>6</v>
      </c>
      <c r="N47" s="46"/>
    </row>
    <row r="48" spans="1:14" ht="15.75">
      <c r="A48" s="42" t="s">
        <v>43</v>
      </c>
      <c r="B48" s="49" t="s">
        <v>44</v>
      </c>
      <c r="C48" s="37">
        <f>C49+C50+C51+C52</f>
        <v>1059.622</v>
      </c>
      <c r="D48" s="37">
        <f>D49+D50+D51+D52</f>
        <v>584.322</v>
      </c>
      <c r="E48" s="37">
        <f>E49+E50+E51+E52</f>
        <v>98.742</v>
      </c>
      <c r="F48" s="34"/>
      <c r="G48" s="34"/>
      <c r="H48" s="34"/>
      <c r="I48" s="34"/>
      <c r="J48" s="34"/>
      <c r="K48" s="34"/>
      <c r="L48" s="34"/>
      <c r="M48" s="37">
        <f t="shared" si="4"/>
        <v>1059.622</v>
      </c>
      <c r="N48" s="46"/>
    </row>
    <row r="49" spans="1:14" ht="32.25" customHeight="1">
      <c r="A49" s="19" t="s">
        <v>17</v>
      </c>
      <c r="B49" s="29" t="s">
        <v>142</v>
      </c>
      <c r="C49" s="18">
        <f>883.224+11.397-8.532-12+6.96+51</f>
        <v>932.0490000000001</v>
      </c>
      <c r="D49" s="18">
        <f>574.425-6.303-8.8+25</f>
        <v>584.322</v>
      </c>
      <c r="E49" s="18">
        <f>1.886+35.19+37.706+6.96+17</f>
        <v>98.742</v>
      </c>
      <c r="F49" s="34"/>
      <c r="G49" s="34"/>
      <c r="H49" s="34"/>
      <c r="I49" s="34"/>
      <c r="J49" s="34"/>
      <c r="K49" s="34"/>
      <c r="L49" s="34"/>
      <c r="M49" s="18">
        <f t="shared" si="4"/>
        <v>932.0490000000001</v>
      </c>
      <c r="N49" s="46"/>
    </row>
    <row r="50" spans="1:14" ht="22.5" customHeight="1">
      <c r="A50" s="19" t="s">
        <v>136</v>
      </c>
      <c r="B50" s="29" t="s">
        <v>137</v>
      </c>
      <c r="C50" s="18">
        <f>11</f>
        <v>11</v>
      </c>
      <c r="D50" s="18"/>
      <c r="E50" s="18"/>
      <c r="F50" s="34"/>
      <c r="G50" s="34"/>
      <c r="H50" s="34"/>
      <c r="I50" s="34"/>
      <c r="J50" s="34"/>
      <c r="K50" s="34"/>
      <c r="L50" s="34"/>
      <c r="M50" s="18">
        <f t="shared" si="4"/>
        <v>11</v>
      </c>
      <c r="N50" s="46"/>
    </row>
    <row r="51" spans="1:14" ht="50.25" customHeight="1">
      <c r="A51" s="19" t="s">
        <v>169</v>
      </c>
      <c r="B51" s="29" t="s">
        <v>170</v>
      </c>
      <c r="C51" s="18">
        <f>51-6-30.827</f>
        <v>14.172999999999998</v>
      </c>
      <c r="D51" s="18"/>
      <c r="E51" s="18"/>
      <c r="F51" s="34"/>
      <c r="G51" s="34"/>
      <c r="H51" s="34"/>
      <c r="I51" s="34"/>
      <c r="J51" s="34"/>
      <c r="K51" s="34"/>
      <c r="L51" s="34"/>
      <c r="M51" s="18">
        <f t="shared" si="4"/>
        <v>14.172999999999998</v>
      </c>
      <c r="N51" s="46"/>
    </row>
    <row r="52" spans="1:14" ht="32.25" customHeight="1">
      <c r="A52" s="19" t="s">
        <v>18</v>
      </c>
      <c r="B52" s="29" t="s">
        <v>131</v>
      </c>
      <c r="C52" s="18">
        <f>108.5-6.1</f>
        <v>102.4</v>
      </c>
      <c r="D52" s="18"/>
      <c r="E52" s="18"/>
      <c r="F52" s="34"/>
      <c r="G52" s="34"/>
      <c r="H52" s="34"/>
      <c r="I52" s="34"/>
      <c r="J52" s="34"/>
      <c r="K52" s="34"/>
      <c r="L52" s="34"/>
      <c r="M52" s="18">
        <f t="shared" si="4"/>
        <v>102.4</v>
      </c>
      <c r="N52" s="46"/>
    </row>
    <row r="53" spans="1:14" ht="21" customHeight="1">
      <c r="A53" s="50"/>
      <c r="B53" s="8" t="s">
        <v>10</v>
      </c>
      <c r="C53" s="37">
        <f>C37+C48+C47</f>
        <v>49391.03400000001</v>
      </c>
      <c r="D53" s="37">
        <f>D37+D48</f>
        <v>30250.019999999997</v>
      </c>
      <c r="E53" s="37">
        <f>E37+E48</f>
        <v>4662.725</v>
      </c>
      <c r="F53" s="37">
        <f>G53+J53</f>
        <v>142.851</v>
      </c>
      <c r="G53" s="37">
        <f>G37+G49</f>
        <v>25.7</v>
      </c>
      <c r="H53" s="18"/>
      <c r="I53" s="18"/>
      <c r="J53" s="37">
        <f>J37+J49</f>
        <v>117.15100000000001</v>
      </c>
      <c r="K53" s="37">
        <f>K37+K49</f>
        <v>117.15100000000001</v>
      </c>
      <c r="L53" s="37">
        <f>L37+L49</f>
        <v>113.285</v>
      </c>
      <c r="M53" s="37">
        <f>SUM(C53,F53)</f>
        <v>49533.88500000001</v>
      </c>
      <c r="N53" s="46"/>
    </row>
    <row r="54" spans="1:14" ht="35.25" customHeight="1">
      <c r="A54" s="16" t="s">
        <v>158</v>
      </c>
      <c r="B54" s="8" t="s">
        <v>176</v>
      </c>
      <c r="C54" s="18"/>
      <c r="D54" s="18"/>
      <c r="E54" s="18"/>
      <c r="F54" s="18"/>
      <c r="G54" s="18"/>
      <c r="H54" s="18"/>
      <c r="I54" s="18"/>
      <c r="J54" s="18"/>
      <c r="K54" s="18"/>
      <c r="L54" s="18"/>
      <c r="M54" s="18"/>
      <c r="N54" s="46"/>
    </row>
    <row r="55" spans="1:14" ht="15.75">
      <c r="A55" s="26" t="s">
        <v>8</v>
      </c>
      <c r="B55" s="8" t="s">
        <v>9</v>
      </c>
      <c r="C55" s="77">
        <f>C56+C57+C58+C59+C61+C63+C64+C65+C66+C67+C68+C69+C72+C73+C74+C75+C76+C77+C79+C80+C83+C85+C86+C90+C94+C95+C98+C96+C97+C81+C84+C70+C71+C78+C93+C91+C92+C87+C89+C82</f>
        <v>67455.888</v>
      </c>
      <c r="D55" s="37">
        <f>D56+D57+D58+D59+D61+D63+D64+D65+D66+D67+D68+D69+D72+D73+D74+D75+D76+D77+D79+D80+D83+D85+D86+D90+D94+D95+D98+D96+D97+D81+D84+D70+D71+D78+D93+D91+D92+D87+D89+D82</f>
        <v>2492.7879999999996</v>
      </c>
      <c r="E55" s="37">
        <f aca="true" t="shared" si="5" ref="E55:L55">E56+E57+E58+E59+E61+E63+E64+E65+E66+E67+E68+E69+E72+E73+E74+E75+E76+E77+E79+E80+E83+E85+E86+E90+E94+E95+E98+E96+E97+E81+E84+E70+E71+E78+E93+E91+E92+E87+E89+E82</f>
        <v>120.32300000000001</v>
      </c>
      <c r="F55" s="37">
        <f t="shared" si="5"/>
        <v>206</v>
      </c>
      <c r="G55" s="37">
        <f t="shared" si="5"/>
        <v>206</v>
      </c>
      <c r="H55" s="37">
        <f t="shared" si="5"/>
        <v>13.5</v>
      </c>
      <c r="I55" s="37">
        <f t="shared" si="5"/>
        <v>0</v>
      </c>
      <c r="J55" s="37">
        <f t="shared" si="5"/>
        <v>0</v>
      </c>
      <c r="K55" s="37">
        <f t="shared" si="5"/>
        <v>0</v>
      </c>
      <c r="L55" s="37">
        <f t="shared" si="5"/>
        <v>0</v>
      </c>
      <c r="M55" s="77">
        <f>M56+M57+M58+M59+M61+M63+M64+M65+M66+M67+M68+M69+M72+M73+M74+M75+M76+M77+M79+M80+M83+M85+M86+M90+M94+M95+M98+M96+M97+M81+M84+M70+M71+M78+M93+M91+M92+M87+M89+M82</f>
        <v>67661.88800000002</v>
      </c>
      <c r="N55" s="46"/>
    </row>
    <row r="56" spans="1:14" ht="209.25" customHeight="1">
      <c r="A56" s="16" t="s">
        <v>52</v>
      </c>
      <c r="B56" s="9" t="s">
        <v>98</v>
      </c>
      <c r="C56" s="18">
        <f>2319.324+539.475-200</f>
        <v>2658.799</v>
      </c>
      <c r="D56" s="18"/>
      <c r="E56" s="18"/>
      <c r="F56" s="18"/>
      <c r="G56" s="18"/>
      <c r="H56" s="18"/>
      <c r="I56" s="18"/>
      <c r="J56" s="18"/>
      <c r="K56" s="18"/>
      <c r="L56" s="18"/>
      <c r="M56" s="18">
        <f>SUM(C56,F56)</f>
        <v>2658.799</v>
      </c>
      <c r="N56" s="46"/>
    </row>
    <row r="57" spans="1:14" ht="196.5" customHeight="1">
      <c r="A57" s="16" t="s">
        <v>53</v>
      </c>
      <c r="B57" s="9" t="s">
        <v>85</v>
      </c>
      <c r="C57" s="76">
        <f>152.419-3.595-15.85098</f>
        <v>132.97302000000002</v>
      </c>
      <c r="D57" s="18"/>
      <c r="E57" s="18"/>
      <c r="F57" s="18"/>
      <c r="G57" s="18"/>
      <c r="H57" s="18"/>
      <c r="I57" s="18"/>
      <c r="J57" s="18"/>
      <c r="K57" s="18"/>
      <c r="L57" s="18"/>
      <c r="M57" s="76">
        <f>SUM(C57,F57)</f>
        <v>132.97302000000002</v>
      </c>
      <c r="N57" s="46"/>
    </row>
    <row r="58" spans="1:14" ht="218.25" customHeight="1">
      <c r="A58" s="16" t="s">
        <v>54</v>
      </c>
      <c r="B58" s="9" t="s">
        <v>86</v>
      </c>
      <c r="C58" s="18">
        <f>24.1-2.525</f>
        <v>21.575000000000003</v>
      </c>
      <c r="D58" s="18"/>
      <c r="E58" s="18"/>
      <c r="F58" s="18"/>
      <c r="G58" s="18"/>
      <c r="H58" s="18"/>
      <c r="I58" s="18"/>
      <c r="J58" s="18"/>
      <c r="K58" s="18"/>
      <c r="L58" s="18"/>
      <c r="M58" s="18">
        <f>SUM(C58,F58)</f>
        <v>21.575000000000003</v>
      </c>
      <c r="N58" s="46"/>
    </row>
    <row r="59" spans="1:14" ht="328.5" customHeight="1">
      <c r="A59" s="16" t="s">
        <v>55</v>
      </c>
      <c r="B59" s="9" t="s">
        <v>117</v>
      </c>
      <c r="C59" s="18">
        <f>137.465+31.974</f>
        <v>169.439</v>
      </c>
      <c r="D59" s="18"/>
      <c r="E59" s="18"/>
      <c r="F59" s="18"/>
      <c r="G59" s="18"/>
      <c r="H59" s="18"/>
      <c r="I59" s="18"/>
      <c r="J59" s="18"/>
      <c r="K59" s="18"/>
      <c r="L59" s="18"/>
      <c r="M59" s="18">
        <f>F59+C59</f>
        <v>169.439</v>
      </c>
      <c r="N59" s="46"/>
    </row>
    <row r="60" spans="1:14" ht="278.25" customHeight="1">
      <c r="A60" s="16"/>
      <c r="B60" s="15" t="s">
        <v>201</v>
      </c>
      <c r="C60" s="18"/>
      <c r="D60" s="18"/>
      <c r="E60" s="18"/>
      <c r="F60" s="18"/>
      <c r="G60" s="18"/>
      <c r="H60" s="18"/>
      <c r="I60" s="18"/>
      <c r="J60" s="18"/>
      <c r="K60" s="18"/>
      <c r="L60" s="18"/>
      <c r="M60" s="18"/>
      <c r="N60" s="46"/>
    </row>
    <row r="61" spans="1:14" ht="222" customHeight="1">
      <c r="A61" s="16" t="s">
        <v>56</v>
      </c>
      <c r="B61" s="51" t="s">
        <v>146</v>
      </c>
      <c r="C61" s="76">
        <f>2.143+0.01348</f>
        <v>2.1564799999999997</v>
      </c>
      <c r="D61" s="18"/>
      <c r="E61" s="18"/>
      <c r="F61" s="18"/>
      <c r="G61" s="18"/>
      <c r="H61" s="18"/>
      <c r="I61" s="18"/>
      <c r="J61" s="18"/>
      <c r="K61" s="18"/>
      <c r="L61" s="18"/>
      <c r="M61" s="76">
        <f>SUM(C61,F61)</f>
        <v>2.1564799999999997</v>
      </c>
      <c r="N61" s="46"/>
    </row>
    <row r="62" spans="1:14" ht="87" customHeight="1">
      <c r="A62" s="16"/>
      <c r="B62" s="9" t="s">
        <v>147</v>
      </c>
      <c r="C62" s="18"/>
      <c r="D62" s="18"/>
      <c r="E62" s="18"/>
      <c r="F62" s="18"/>
      <c r="G62" s="18"/>
      <c r="H62" s="18"/>
      <c r="I62" s="18"/>
      <c r="J62" s="18"/>
      <c r="K62" s="18"/>
      <c r="L62" s="18"/>
      <c r="M62" s="18"/>
      <c r="N62" s="46"/>
    </row>
    <row r="63" spans="1:14" ht="102" customHeight="1">
      <c r="A63" s="16" t="s">
        <v>57</v>
      </c>
      <c r="B63" s="9" t="s">
        <v>100</v>
      </c>
      <c r="C63" s="18">
        <f>55.722+12.961</f>
        <v>68.683</v>
      </c>
      <c r="D63" s="18"/>
      <c r="E63" s="18"/>
      <c r="F63" s="18"/>
      <c r="G63" s="18"/>
      <c r="H63" s="18"/>
      <c r="I63" s="18"/>
      <c r="J63" s="18"/>
      <c r="K63" s="18"/>
      <c r="L63" s="18"/>
      <c r="M63" s="18">
        <f aca="true" t="shared" si="6" ref="M63:M102">SUM(C63,F63)</f>
        <v>68.683</v>
      </c>
      <c r="N63" s="46"/>
    </row>
    <row r="64" spans="1:14" ht="97.5" customHeight="1">
      <c r="A64" s="16" t="s">
        <v>58</v>
      </c>
      <c r="B64" s="9" t="s">
        <v>101</v>
      </c>
      <c r="C64" s="76">
        <f>2.143-0.52564</f>
        <v>1.6173599999999997</v>
      </c>
      <c r="D64" s="18"/>
      <c r="E64" s="18"/>
      <c r="F64" s="18"/>
      <c r="G64" s="18"/>
      <c r="H64" s="18"/>
      <c r="I64" s="18"/>
      <c r="J64" s="18"/>
      <c r="K64" s="18"/>
      <c r="L64" s="18"/>
      <c r="M64" s="76">
        <f t="shared" si="6"/>
        <v>1.6173599999999997</v>
      </c>
      <c r="N64" s="46"/>
    </row>
    <row r="65" spans="1:14" ht="80.25" customHeight="1">
      <c r="A65" s="16" t="s">
        <v>59</v>
      </c>
      <c r="B65" s="9" t="s">
        <v>102</v>
      </c>
      <c r="C65" s="18">
        <v>1.4</v>
      </c>
      <c r="D65" s="18"/>
      <c r="E65" s="18"/>
      <c r="F65" s="18"/>
      <c r="G65" s="18"/>
      <c r="H65" s="18"/>
      <c r="I65" s="18"/>
      <c r="J65" s="18"/>
      <c r="K65" s="18"/>
      <c r="L65" s="18"/>
      <c r="M65" s="18">
        <f t="shared" si="6"/>
        <v>1.4</v>
      </c>
      <c r="N65" s="46"/>
    </row>
    <row r="66" spans="1:14" ht="195" customHeight="1">
      <c r="A66" s="16" t="s">
        <v>60</v>
      </c>
      <c r="B66" s="9" t="s">
        <v>200</v>
      </c>
      <c r="C66" s="18">
        <f>363.883+84.639</f>
        <v>448.522</v>
      </c>
      <c r="D66" s="18"/>
      <c r="E66" s="18"/>
      <c r="F66" s="18"/>
      <c r="G66" s="18"/>
      <c r="H66" s="18"/>
      <c r="I66" s="18"/>
      <c r="J66" s="18"/>
      <c r="K66" s="18"/>
      <c r="L66" s="18"/>
      <c r="M66" s="18">
        <f t="shared" si="6"/>
        <v>448.522</v>
      </c>
      <c r="N66" s="46"/>
    </row>
    <row r="67" spans="1:14" ht="195" customHeight="1">
      <c r="A67" s="16" t="s">
        <v>61</v>
      </c>
      <c r="B67" s="9" t="s">
        <v>199</v>
      </c>
      <c r="C67" s="76">
        <f>67.652+11.05879</f>
        <v>78.71079</v>
      </c>
      <c r="D67" s="18"/>
      <c r="E67" s="18"/>
      <c r="F67" s="18"/>
      <c r="G67" s="18"/>
      <c r="H67" s="18"/>
      <c r="I67" s="18"/>
      <c r="J67" s="18"/>
      <c r="K67" s="18"/>
      <c r="L67" s="18"/>
      <c r="M67" s="76">
        <f t="shared" si="6"/>
        <v>78.71079</v>
      </c>
      <c r="N67" s="46"/>
    </row>
    <row r="68" spans="1:14" ht="48" customHeight="1">
      <c r="A68" s="16" t="s">
        <v>62</v>
      </c>
      <c r="B68" s="9" t="s">
        <v>87</v>
      </c>
      <c r="C68" s="18">
        <v>56.9</v>
      </c>
      <c r="D68" s="18"/>
      <c r="E68" s="18"/>
      <c r="F68" s="18"/>
      <c r="G68" s="18"/>
      <c r="H68" s="18"/>
      <c r="I68" s="18"/>
      <c r="J68" s="18"/>
      <c r="K68" s="18"/>
      <c r="L68" s="18"/>
      <c r="M68" s="18">
        <f t="shared" si="6"/>
        <v>56.9</v>
      </c>
      <c r="N68" s="46"/>
    </row>
    <row r="69" spans="1:14" ht="33" customHeight="1">
      <c r="A69" s="16" t="s">
        <v>63</v>
      </c>
      <c r="B69" s="9" t="s">
        <v>88</v>
      </c>
      <c r="C69" s="18">
        <f>111.2-24.536</f>
        <v>86.664</v>
      </c>
      <c r="D69" s="18"/>
      <c r="E69" s="18"/>
      <c r="F69" s="18"/>
      <c r="G69" s="18"/>
      <c r="H69" s="18"/>
      <c r="I69" s="18"/>
      <c r="J69" s="18"/>
      <c r="K69" s="18"/>
      <c r="L69" s="18"/>
      <c r="M69" s="18">
        <f t="shared" si="6"/>
        <v>86.664</v>
      </c>
      <c r="N69" s="46"/>
    </row>
    <row r="70" spans="1:14" ht="132" customHeight="1">
      <c r="A70" s="16" t="s">
        <v>119</v>
      </c>
      <c r="B70" s="9" t="s">
        <v>197</v>
      </c>
      <c r="C70" s="18">
        <f>590.178+137.293-50</f>
        <v>677.471</v>
      </c>
      <c r="D70" s="18"/>
      <c r="E70" s="18"/>
      <c r="F70" s="18"/>
      <c r="G70" s="18"/>
      <c r="H70" s="18"/>
      <c r="I70" s="18"/>
      <c r="J70" s="18"/>
      <c r="K70" s="18"/>
      <c r="L70" s="18"/>
      <c r="M70" s="18">
        <f t="shared" si="6"/>
        <v>677.471</v>
      </c>
      <c r="N70" s="46"/>
    </row>
    <row r="71" spans="1:14" ht="132.75" customHeight="1">
      <c r="A71" s="16" t="s">
        <v>120</v>
      </c>
      <c r="B71" s="9" t="s">
        <v>198</v>
      </c>
      <c r="C71" s="76">
        <f>113.808+4.10716+4.79219</f>
        <v>122.70735000000002</v>
      </c>
      <c r="D71" s="18"/>
      <c r="E71" s="18"/>
      <c r="F71" s="18"/>
      <c r="G71" s="18"/>
      <c r="H71" s="18"/>
      <c r="I71" s="18"/>
      <c r="J71" s="18"/>
      <c r="K71" s="18"/>
      <c r="L71" s="18"/>
      <c r="M71" s="76">
        <f t="shared" si="6"/>
        <v>122.70735000000002</v>
      </c>
      <c r="N71" s="46"/>
    </row>
    <row r="72" spans="1:14" ht="36.75" customHeight="1">
      <c r="A72" s="16" t="s">
        <v>64</v>
      </c>
      <c r="B72" s="9" t="s">
        <v>89</v>
      </c>
      <c r="C72" s="18">
        <f>579.916-100</f>
        <v>479.91600000000005</v>
      </c>
      <c r="D72" s="18"/>
      <c r="E72" s="18"/>
      <c r="F72" s="18"/>
      <c r="G72" s="18"/>
      <c r="H72" s="18"/>
      <c r="I72" s="18"/>
      <c r="J72" s="18"/>
      <c r="K72" s="18"/>
      <c r="L72" s="18"/>
      <c r="M72" s="18">
        <f t="shared" si="6"/>
        <v>479.91600000000005</v>
      </c>
      <c r="N72" s="46"/>
    </row>
    <row r="73" spans="1:14" ht="30.75" customHeight="1">
      <c r="A73" s="16" t="s">
        <v>65</v>
      </c>
      <c r="B73" s="9" t="s">
        <v>90</v>
      </c>
      <c r="C73" s="18">
        <f>8943.791-1600-3138</f>
        <v>4205.790999999999</v>
      </c>
      <c r="D73" s="18"/>
      <c r="E73" s="18"/>
      <c r="F73" s="18"/>
      <c r="G73" s="18"/>
      <c r="H73" s="18"/>
      <c r="I73" s="18"/>
      <c r="J73" s="18"/>
      <c r="K73" s="18"/>
      <c r="L73" s="18"/>
      <c r="M73" s="18">
        <f t="shared" si="6"/>
        <v>4205.790999999999</v>
      </c>
      <c r="N73" s="46"/>
    </row>
    <row r="74" spans="1:14" ht="32.25" customHeight="1">
      <c r="A74" s="16" t="s">
        <v>66</v>
      </c>
      <c r="B74" s="9" t="s">
        <v>124</v>
      </c>
      <c r="C74" s="18">
        <f>22408.925-3500+1026</f>
        <v>19934.925</v>
      </c>
      <c r="D74" s="18"/>
      <c r="E74" s="18"/>
      <c r="F74" s="18"/>
      <c r="G74" s="18"/>
      <c r="H74" s="18"/>
      <c r="I74" s="18"/>
      <c r="J74" s="18"/>
      <c r="K74" s="18"/>
      <c r="L74" s="18"/>
      <c r="M74" s="18">
        <f t="shared" si="6"/>
        <v>19934.925</v>
      </c>
      <c r="N74" s="46"/>
    </row>
    <row r="75" spans="1:14" ht="31.5" customHeight="1">
      <c r="A75" s="16" t="s">
        <v>67</v>
      </c>
      <c r="B75" s="9" t="s">
        <v>108</v>
      </c>
      <c r="C75" s="18">
        <v>3297.612</v>
      </c>
      <c r="D75" s="18"/>
      <c r="E75" s="18"/>
      <c r="F75" s="18"/>
      <c r="G75" s="18"/>
      <c r="H75" s="18"/>
      <c r="I75" s="18"/>
      <c r="J75" s="18"/>
      <c r="K75" s="18"/>
      <c r="L75" s="18"/>
      <c r="M75" s="18">
        <f t="shared" si="6"/>
        <v>3297.612</v>
      </c>
      <c r="N75" s="46"/>
    </row>
    <row r="76" spans="1:14" ht="30.75" customHeight="1">
      <c r="A76" s="16" t="s">
        <v>68</v>
      </c>
      <c r="B76" s="9" t="s">
        <v>91</v>
      </c>
      <c r="C76" s="18">
        <f>7721.142-50-200</f>
        <v>7471.142</v>
      </c>
      <c r="D76" s="18"/>
      <c r="E76" s="18"/>
      <c r="F76" s="18"/>
      <c r="G76" s="18"/>
      <c r="H76" s="18"/>
      <c r="I76" s="18"/>
      <c r="J76" s="18"/>
      <c r="K76" s="18"/>
      <c r="L76" s="18"/>
      <c r="M76" s="18">
        <f t="shared" si="6"/>
        <v>7471.142</v>
      </c>
      <c r="N76" s="46"/>
    </row>
    <row r="77" spans="1:14" ht="30" customHeight="1">
      <c r="A77" s="16" t="s">
        <v>69</v>
      </c>
      <c r="B77" s="9" t="s">
        <v>92</v>
      </c>
      <c r="C77" s="18">
        <f>970.9-100</f>
        <v>870.9</v>
      </c>
      <c r="D77" s="18"/>
      <c r="E77" s="18"/>
      <c r="F77" s="18"/>
      <c r="G77" s="18"/>
      <c r="H77" s="18"/>
      <c r="I77" s="18"/>
      <c r="J77" s="18"/>
      <c r="K77" s="18"/>
      <c r="L77" s="18"/>
      <c r="M77" s="18">
        <f t="shared" si="6"/>
        <v>870.9</v>
      </c>
      <c r="N77" s="46"/>
    </row>
    <row r="78" spans="1:14" ht="30" customHeight="1">
      <c r="A78" s="16" t="s">
        <v>112</v>
      </c>
      <c r="B78" s="9" t="s">
        <v>113</v>
      </c>
      <c r="C78" s="18">
        <v>65.114</v>
      </c>
      <c r="D78" s="18"/>
      <c r="E78" s="18"/>
      <c r="F78" s="18"/>
      <c r="G78" s="18"/>
      <c r="H78" s="18"/>
      <c r="I78" s="18"/>
      <c r="J78" s="18"/>
      <c r="K78" s="18"/>
      <c r="L78" s="18"/>
      <c r="M78" s="18">
        <f t="shared" si="6"/>
        <v>65.114</v>
      </c>
      <c r="N78" s="46"/>
    </row>
    <row r="79" spans="1:14" ht="30.75" customHeight="1">
      <c r="A79" s="16" t="s">
        <v>70</v>
      </c>
      <c r="B79" s="9" t="s">
        <v>93</v>
      </c>
      <c r="C79" s="18">
        <f>10750.7+2312</f>
        <v>13062.7</v>
      </c>
      <c r="D79" s="18"/>
      <c r="E79" s="18"/>
      <c r="F79" s="18"/>
      <c r="G79" s="18"/>
      <c r="H79" s="18"/>
      <c r="I79" s="18"/>
      <c r="J79" s="18"/>
      <c r="K79" s="18"/>
      <c r="L79" s="18"/>
      <c r="M79" s="18">
        <f t="shared" si="6"/>
        <v>13062.7</v>
      </c>
      <c r="N79" s="46"/>
    </row>
    <row r="80" spans="1:14" ht="47.25" customHeight="1">
      <c r="A80" s="16" t="s">
        <v>71</v>
      </c>
      <c r="B80" s="9" t="s">
        <v>114</v>
      </c>
      <c r="C80" s="18">
        <f>511.428+118.958-50</f>
        <v>580.386</v>
      </c>
      <c r="D80" s="18"/>
      <c r="E80" s="18"/>
      <c r="F80" s="18"/>
      <c r="G80" s="18"/>
      <c r="H80" s="18"/>
      <c r="I80" s="18"/>
      <c r="J80" s="18"/>
      <c r="K80" s="18"/>
      <c r="L80" s="18"/>
      <c r="M80" s="18">
        <f t="shared" si="6"/>
        <v>580.386</v>
      </c>
      <c r="N80" s="46"/>
    </row>
    <row r="81" spans="1:14" ht="66.75" customHeight="1">
      <c r="A81" s="16" t="s">
        <v>107</v>
      </c>
      <c r="B81" s="9" t="s">
        <v>115</v>
      </c>
      <c r="C81" s="18">
        <v>307.935</v>
      </c>
      <c r="D81" s="18"/>
      <c r="E81" s="18"/>
      <c r="F81" s="18"/>
      <c r="G81" s="18"/>
      <c r="H81" s="18"/>
      <c r="I81" s="18"/>
      <c r="J81" s="18"/>
      <c r="K81" s="18"/>
      <c r="L81" s="18"/>
      <c r="M81" s="18">
        <f t="shared" si="6"/>
        <v>307.935</v>
      </c>
      <c r="N81" s="46"/>
    </row>
    <row r="82" spans="1:14" ht="66.75" customHeight="1">
      <c r="A82" s="16" t="s">
        <v>207</v>
      </c>
      <c r="B82" s="9" t="s">
        <v>208</v>
      </c>
      <c r="C82" s="18">
        <v>300</v>
      </c>
      <c r="D82" s="18"/>
      <c r="E82" s="18"/>
      <c r="F82" s="18"/>
      <c r="G82" s="18"/>
      <c r="H82" s="18"/>
      <c r="I82" s="18"/>
      <c r="J82" s="18"/>
      <c r="K82" s="18"/>
      <c r="L82" s="18"/>
      <c r="M82" s="18">
        <f t="shared" si="6"/>
        <v>300</v>
      </c>
      <c r="N82" s="46"/>
    </row>
    <row r="83" spans="1:14" ht="21" customHeight="1">
      <c r="A83" s="16" t="s">
        <v>72</v>
      </c>
      <c r="B83" s="9" t="s">
        <v>73</v>
      </c>
      <c r="C83" s="18">
        <f>59.2+2.73+8.47+90+1.45</f>
        <v>161.85</v>
      </c>
      <c r="D83" s="18"/>
      <c r="E83" s="18"/>
      <c r="F83" s="18"/>
      <c r="G83" s="18"/>
      <c r="H83" s="18"/>
      <c r="I83" s="18"/>
      <c r="J83" s="18"/>
      <c r="K83" s="18"/>
      <c r="L83" s="18"/>
      <c r="M83" s="18">
        <f>SUM(C83,F83)</f>
        <v>161.85</v>
      </c>
      <c r="N83" s="46"/>
    </row>
    <row r="84" spans="1:14" ht="21" customHeight="1">
      <c r="A84" s="16" t="s">
        <v>109</v>
      </c>
      <c r="B84" s="29" t="s">
        <v>110</v>
      </c>
      <c r="C84" s="18">
        <f>20.6+31+4.356+0.952+10.9</f>
        <v>67.808</v>
      </c>
      <c r="D84" s="18"/>
      <c r="E84" s="18"/>
      <c r="F84" s="18"/>
      <c r="G84" s="18"/>
      <c r="H84" s="18"/>
      <c r="I84" s="18"/>
      <c r="J84" s="18"/>
      <c r="K84" s="18"/>
      <c r="L84" s="18"/>
      <c r="M84" s="18">
        <f t="shared" si="6"/>
        <v>67.808</v>
      </c>
      <c r="N84" s="46"/>
    </row>
    <row r="85" spans="1:14" ht="33.75" customHeight="1">
      <c r="A85" s="16" t="s">
        <v>74</v>
      </c>
      <c r="B85" s="9" t="s">
        <v>118</v>
      </c>
      <c r="C85" s="18">
        <v>17.4</v>
      </c>
      <c r="D85" s="18"/>
      <c r="E85" s="18"/>
      <c r="F85" s="18"/>
      <c r="G85" s="18"/>
      <c r="H85" s="18"/>
      <c r="I85" s="18"/>
      <c r="J85" s="18"/>
      <c r="K85" s="18"/>
      <c r="L85" s="18"/>
      <c r="M85" s="18">
        <f t="shared" si="6"/>
        <v>17.4</v>
      </c>
      <c r="N85" s="46"/>
    </row>
    <row r="86" spans="1:14" ht="48.75" customHeight="1">
      <c r="A86" s="16" t="s">
        <v>75</v>
      </c>
      <c r="B86" s="9" t="s">
        <v>181</v>
      </c>
      <c r="C86" s="18">
        <v>754.1</v>
      </c>
      <c r="D86" s="18"/>
      <c r="E86" s="18"/>
      <c r="F86" s="18"/>
      <c r="G86" s="18"/>
      <c r="H86" s="18"/>
      <c r="I86" s="18"/>
      <c r="J86" s="18"/>
      <c r="K86" s="18"/>
      <c r="L86" s="18"/>
      <c r="M86" s="18">
        <f t="shared" si="6"/>
        <v>754.1</v>
      </c>
      <c r="N86" s="46"/>
    </row>
    <row r="87" spans="1:14" ht="17.25" customHeight="1">
      <c r="A87" s="19" t="s">
        <v>40</v>
      </c>
      <c r="B87" s="29" t="s">
        <v>41</v>
      </c>
      <c r="C87" s="18">
        <f>601.332+23.3+8.453+0.729-356.828-3.5</f>
        <v>273.486</v>
      </c>
      <c r="D87" s="18">
        <f>427.127+23.3-262.948</f>
        <v>187.47900000000004</v>
      </c>
      <c r="E87" s="18">
        <v>5.823</v>
      </c>
      <c r="F87" s="34"/>
      <c r="G87" s="34"/>
      <c r="H87" s="34"/>
      <c r="I87" s="34"/>
      <c r="J87" s="34"/>
      <c r="K87" s="34"/>
      <c r="L87" s="34"/>
      <c r="M87" s="18">
        <f t="shared" si="6"/>
        <v>273.486</v>
      </c>
      <c r="N87" s="46"/>
    </row>
    <row r="88" spans="1:14" ht="17.25" customHeight="1">
      <c r="A88" s="19"/>
      <c r="B88" s="29" t="s">
        <v>42</v>
      </c>
      <c r="C88" s="34"/>
      <c r="D88" s="34"/>
      <c r="E88" s="34"/>
      <c r="F88" s="34"/>
      <c r="G88" s="34"/>
      <c r="H88" s="34"/>
      <c r="I88" s="34"/>
      <c r="J88" s="34"/>
      <c r="K88" s="34"/>
      <c r="L88" s="34"/>
      <c r="M88" s="34"/>
      <c r="N88" s="46"/>
    </row>
    <row r="89" spans="1:14" ht="30" customHeight="1">
      <c r="A89" s="19" t="s">
        <v>153</v>
      </c>
      <c r="B89" s="52" t="s">
        <v>154</v>
      </c>
      <c r="C89" s="18">
        <f>2+0.905</f>
        <v>2.9050000000000002</v>
      </c>
      <c r="D89" s="34"/>
      <c r="E89" s="34"/>
      <c r="F89" s="34"/>
      <c r="G89" s="34"/>
      <c r="H89" s="34"/>
      <c r="I89" s="34"/>
      <c r="J89" s="34"/>
      <c r="K89" s="34"/>
      <c r="L89" s="34"/>
      <c r="M89" s="18">
        <f>SUM(C89,F89)</f>
        <v>2.9050000000000002</v>
      </c>
      <c r="N89" s="46"/>
    </row>
    <row r="90" spans="1:14" ht="38.25" customHeight="1">
      <c r="A90" s="16" t="s">
        <v>76</v>
      </c>
      <c r="B90" s="9" t="s">
        <v>143</v>
      </c>
      <c r="C90" s="18">
        <f>3302.6+50+40.3-0.011-23.3-8.453+57.554+6.47-76.33-14-0.9+35.9</f>
        <v>3369.83</v>
      </c>
      <c r="D90" s="18">
        <f>2098.4+36.7+14.7+7.3-23.3-52+52.439</f>
        <v>2134.2389999999996</v>
      </c>
      <c r="E90" s="18">
        <f>107.3+6.47-10</f>
        <v>103.77</v>
      </c>
      <c r="F90" s="18">
        <f>G90+J90</f>
        <v>206</v>
      </c>
      <c r="G90" s="18">
        <v>206</v>
      </c>
      <c r="H90" s="18">
        <v>13.5</v>
      </c>
      <c r="I90" s="18"/>
      <c r="J90" s="18"/>
      <c r="K90" s="18"/>
      <c r="L90" s="18"/>
      <c r="M90" s="18">
        <f t="shared" si="6"/>
        <v>3575.83</v>
      </c>
      <c r="N90" s="46"/>
    </row>
    <row r="91" spans="1:14" ht="68.25" customHeight="1">
      <c r="A91" s="16" t="s">
        <v>134</v>
      </c>
      <c r="B91" s="9" t="s">
        <v>135</v>
      </c>
      <c r="C91" s="18">
        <f>200+10</f>
        <v>210</v>
      </c>
      <c r="D91" s="34"/>
      <c r="E91" s="34"/>
      <c r="F91" s="18"/>
      <c r="G91" s="18"/>
      <c r="H91" s="18"/>
      <c r="I91" s="18"/>
      <c r="J91" s="18"/>
      <c r="K91" s="18"/>
      <c r="L91" s="18"/>
      <c r="M91" s="18">
        <f t="shared" si="6"/>
        <v>210</v>
      </c>
      <c r="N91" s="46"/>
    </row>
    <row r="92" spans="1:14" ht="36" customHeight="1">
      <c r="A92" s="16" t="s">
        <v>149</v>
      </c>
      <c r="B92" s="9" t="s">
        <v>150</v>
      </c>
      <c r="C92" s="53">
        <f>317.8+7.04-10.9+3.03</f>
        <v>316.97</v>
      </c>
      <c r="D92" s="53">
        <f>180.9-8-1.83</f>
        <v>171.07</v>
      </c>
      <c r="E92" s="53">
        <f>5.2+3.03+2.5</f>
        <v>10.73</v>
      </c>
      <c r="F92" s="18"/>
      <c r="G92" s="18"/>
      <c r="H92" s="18"/>
      <c r="I92" s="18"/>
      <c r="J92" s="18"/>
      <c r="K92" s="18"/>
      <c r="L92" s="18"/>
      <c r="M92" s="18">
        <f t="shared" si="6"/>
        <v>316.97</v>
      </c>
      <c r="N92" s="46"/>
    </row>
    <row r="93" spans="1:14" ht="80.25" customHeight="1">
      <c r="A93" s="16" t="s">
        <v>132</v>
      </c>
      <c r="B93" s="9" t="s">
        <v>148</v>
      </c>
      <c r="C93" s="34"/>
      <c r="D93" s="34"/>
      <c r="E93" s="34"/>
      <c r="F93" s="18"/>
      <c r="G93" s="18"/>
      <c r="H93" s="18"/>
      <c r="I93" s="18"/>
      <c r="J93" s="18"/>
      <c r="K93" s="18"/>
      <c r="L93" s="18"/>
      <c r="M93" s="18">
        <f t="shared" si="6"/>
        <v>0</v>
      </c>
      <c r="N93" s="46"/>
    </row>
    <row r="94" spans="1:14" ht="30" customHeight="1">
      <c r="A94" s="16" t="s">
        <v>84</v>
      </c>
      <c r="B94" s="9" t="s">
        <v>133</v>
      </c>
      <c r="C94" s="18">
        <v>52</v>
      </c>
      <c r="D94" s="34"/>
      <c r="E94" s="34"/>
      <c r="F94" s="18"/>
      <c r="G94" s="18"/>
      <c r="H94" s="18"/>
      <c r="I94" s="18"/>
      <c r="J94" s="18"/>
      <c r="K94" s="18"/>
      <c r="L94" s="18"/>
      <c r="M94" s="18">
        <f t="shared" si="6"/>
        <v>52</v>
      </c>
      <c r="N94" s="46"/>
    </row>
    <row r="95" spans="1:14" ht="53.25" customHeight="1">
      <c r="A95" s="16" t="s">
        <v>77</v>
      </c>
      <c r="B95" s="9" t="s">
        <v>94</v>
      </c>
      <c r="C95" s="18">
        <f>7273.7-159.2</f>
        <v>7114.5</v>
      </c>
      <c r="D95" s="18"/>
      <c r="E95" s="18"/>
      <c r="F95" s="18"/>
      <c r="G95" s="18"/>
      <c r="H95" s="18"/>
      <c r="I95" s="18"/>
      <c r="J95" s="18"/>
      <c r="K95" s="18"/>
      <c r="L95" s="18"/>
      <c r="M95" s="18">
        <f t="shared" si="6"/>
        <v>7114.5</v>
      </c>
      <c r="N95" s="46"/>
    </row>
    <row r="96" spans="1:14" ht="50.25" customHeight="1" hidden="1">
      <c r="A96" s="16"/>
      <c r="B96" s="24"/>
      <c r="C96" s="34"/>
      <c r="D96" s="18"/>
      <c r="E96" s="18"/>
      <c r="F96" s="18"/>
      <c r="G96" s="18"/>
      <c r="H96" s="18"/>
      <c r="I96" s="18"/>
      <c r="J96" s="18"/>
      <c r="K96" s="18"/>
      <c r="L96" s="18"/>
      <c r="M96" s="18">
        <f t="shared" si="6"/>
        <v>0</v>
      </c>
      <c r="N96" s="46"/>
    </row>
    <row r="97" spans="1:14" ht="63" customHeight="1">
      <c r="A97" s="16" t="s">
        <v>105</v>
      </c>
      <c r="B97" s="9" t="s">
        <v>106</v>
      </c>
      <c r="C97" s="18">
        <v>10.664</v>
      </c>
      <c r="D97" s="34"/>
      <c r="E97" s="34"/>
      <c r="F97" s="18"/>
      <c r="G97" s="18"/>
      <c r="H97" s="18"/>
      <c r="I97" s="18"/>
      <c r="J97" s="18"/>
      <c r="K97" s="18"/>
      <c r="L97" s="18"/>
      <c r="M97" s="18">
        <f t="shared" si="6"/>
        <v>10.664</v>
      </c>
      <c r="N97" s="46"/>
    </row>
    <row r="98" spans="1:14" ht="33" customHeight="1">
      <c r="A98" s="16" t="s">
        <v>78</v>
      </c>
      <c r="B98" s="9" t="s">
        <v>95</v>
      </c>
      <c r="C98" s="18">
        <v>0.336</v>
      </c>
      <c r="D98" s="34"/>
      <c r="E98" s="34"/>
      <c r="F98" s="34"/>
      <c r="G98" s="34"/>
      <c r="H98" s="34"/>
      <c r="I98" s="34"/>
      <c r="J98" s="34"/>
      <c r="K98" s="34"/>
      <c r="L98" s="34"/>
      <c r="M98" s="18">
        <f t="shared" si="6"/>
        <v>0.336</v>
      </c>
      <c r="N98" s="46"/>
    </row>
    <row r="99" spans="1:14" ht="48.75" customHeight="1">
      <c r="A99" s="16" t="s">
        <v>79</v>
      </c>
      <c r="B99" s="9" t="s">
        <v>96</v>
      </c>
      <c r="C99" s="18">
        <v>55</v>
      </c>
      <c r="D99" s="18"/>
      <c r="E99" s="18"/>
      <c r="F99" s="18"/>
      <c r="G99" s="18"/>
      <c r="H99" s="18"/>
      <c r="I99" s="18"/>
      <c r="J99" s="18"/>
      <c r="K99" s="18"/>
      <c r="L99" s="18"/>
      <c r="M99" s="18">
        <f t="shared" si="6"/>
        <v>55</v>
      </c>
      <c r="N99" s="46"/>
    </row>
    <row r="100" spans="1:14" ht="51" customHeight="1">
      <c r="A100" s="16" t="s">
        <v>80</v>
      </c>
      <c r="B100" s="9" t="s">
        <v>97</v>
      </c>
      <c r="C100" s="18">
        <f>87.1+27.061</f>
        <v>114.161</v>
      </c>
      <c r="D100" s="18"/>
      <c r="E100" s="18"/>
      <c r="F100" s="18"/>
      <c r="G100" s="18"/>
      <c r="H100" s="18"/>
      <c r="I100" s="18"/>
      <c r="J100" s="18"/>
      <c r="K100" s="18"/>
      <c r="L100" s="18"/>
      <c r="M100" s="18">
        <f t="shared" si="6"/>
        <v>114.161</v>
      </c>
      <c r="N100" s="46"/>
    </row>
    <row r="101" spans="1:14" ht="23.25" customHeight="1">
      <c r="A101" s="16" t="s">
        <v>81</v>
      </c>
      <c r="B101" s="9" t="s">
        <v>206</v>
      </c>
      <c r="C101" s="18">
        <f>491.5-23.7+14+0.9</f>
        <v>482.7</v>
      </c>
      <c r="D101" s="18"/>
      <c r="E101" s="18"/>
      <c r="F101" s="18"/>
      <c r="G101" s="18"/>
      <c r="H101" s="18"/>
      <c r="I101" s="18"/>
      <c r="J101" s="18"/>
      <c r="K101" s="18"/>
      <c r="L101" s="18"/>
      <c r="M101" s="18">
        <f t="shared" si="6"/>
        <v>482.7</v>
      </c>
      <c r="N101" s="46"/>
    </row>
    <row r="102" spans="1:14" ht="21.75" customHeight="1">
      <c r="A102" s="16"/>
      <c r="B102" s="9" t="s">
        <v>182</v>
      </c>
      <c r="C102" s="18">
        <v>467.8</v>
      </c>
      <c r="D102" s="18"/>
      <c r="E102" s="18"/>
      <c r="F102" s="18"/>
      <c r="G102" s="18"/>
      <c r="H102" s="18"/>
      <c r="I102" s="18"/>
      <c r="J102" s="18"/>
      <c r="K102" s="18"/>
      <c r="L102" s="18"/>
      <c r="M102" s="18">
        <f t="shared" si="6"/>
        <v>467.8</v>
      </c>
      <c r="N102" s="46"/>
    </row>
    <row r="103" spans="1:14" s="10" customFormat="1" ht="24.75" customHeight="1">
      <c r="A103" s="16"/>
      <c r="B103" s="8" t="s">
        <v>10</v>
      </c>
      <c r="C103" s="77">
        <f>C101+C55+C100+C99</f>
        <v>68107.749</v>
      </c>
      <c r="D103" s="37">
        <f>D101+D55+D100+D99</f>
        <v>2492.7879999999996</v>
      </c>
      <c r="E103" s="37">
        <f>E101+E55+E100+E99</f>
        <v>120.32300000000001</v>
      </c>
      <c r="F103" s="37">
        <f aca="true" t="shared" si="7" ref="F103:L103">F101+F55</f>
        <v>206</v>
      </c>
      <c r="G103" s="37">
        <f t="shared" si="7"/>
        <v>206</v>
      </c>
      <c r="H103" s="37">
        <f t="shared" si="7"/>
        <v>13.5</v>
      </c>
      <c r="I103" s="37">
        <f t="shared" si="7"/>
        <v>0</v>
      </c>
      <c r="J103" s="37">
        <f t="shared" si="7"/>
        <v>0</v>
      </c>
      <c r="K103" s="37">
        <f t="shared" si="7"/>
        <v>0</v>
      </c>
      <c r="L103" s="37">
        <f t="shared" si="7"/>
        <v>0</v>
      </c>
      <c r="M103" s="80">
        <f>C103+F103</f>
        <v>68313.749</v>
      </c>
      <c r="N103" s="18"/>
    </row>
    <row r="104" spans="1:14" s="10" customFormat="1" ht="15.75">
      <c r="A104" s="54"/>
      <c r="B104" s="38"/>
      <c r="C104" s="34"/>
      <c r="D104" s="34"/>
      <c r="E104" s="34"/>
      <c r="F104" s="34"/>
      <c r="G104" s="34"/>
      <c r="H104" s="34"/>
      <c r="I104" s="34"/>
      <c r="J104" s="34"/>
      <c r="K104" s="34"/>
      <c r="L104" s="34"/>
      <c r="M104" s="34"/>
      <c r="N104" s="40"/>
    </row>
    <row r="105" spans="1:14" ht="15.75">
      <c r="A105" s="16" t="s">
        <v>159</v>
      </c>
      <c r="B105" s="55" t="s">
        <v>177</v>
      </c>
      <c r="C105" s="34"/>
      <c r="D105" s="34"/>
      <c r="E105" s="34"/>
      <c r="F105" s="34"/>
      <c r="G105" s="34"/>
      <c r="H105" s="34"/>
      <c r="I105" s="34"/>
      <c r="J105" s="34"/>
      <c r="K105" s="34"/>
      <c r="L105" s="34"/>
      <c r="M105" s="34"/>
      <c r="N105" s="46"/>
    </row>
    <row r="106" spans="1:14" ht="15.75">
      <c r="A106" s="26" t="s">
        <v>13</v>
      </c>
      <c r="B106" s="8" t="s">
        <v>12</v>
      </c>
      <c r="C106" s="37">
        <f>C111+C107+C108+C109+C110</f>
        <v>3871.2110000000002</v>
      </c>
      <c r="D106" s="37">
        <f>D111+D107+D108+D109+D110</f>
        <v>2592.475</v>
      </c>
      <c r="E106" s="37">
        <f>E111+E107+E108+E109+E110</f>
        <v>251.43099999999998</v>
      </c>
      <c r="F106" s="37">
        <f>F111+F107+F108+F109+F110</f>
        <v>70.2</v>
      </c>
      <c r="G106" s="37">
        <f>H109+G111+G107+G108+G109+G110</f>
        <v>50.9</v>
      </c>
      <c r="H106" s="37">
        <f>I109+H111+H107+H108+H109+H110</f>
        <v>20.4</v>
      </c>
      <c r="I106" s="37">
        <f>J109+I111+I107+I108+I109+I110</f>
        <v>0</v>
      </c>
      <c r="J106" s="37">
        <f>K109+J111+J107+J108+J109+J110</f>
        <v>19.3</v>
      </c>
      <c r="K106" s="37">
        <f>L109+K111+K107+K108+K109+K110</f>
        <v>19.3</v>
      </c>
      <c r="L106" s="37">
        <f>L111+L107+L108+L109+L110</f>
        <v>12.3</v>
      </c>
      <c r="M106" s="37">
        <f>M111+M107+M108+M109+M110</f>
        <v>3941.411</v>
      </c>
      <c r="N106" s="46"/>
    </row>
    <row r="107" spans="1:14" ht="15.75">
      <c r="A107" s="16" t="s">
        <v>20</v>
      </c>
      <c r="B107" s="9" t="s">
        <v>14</v>
      </c>
      <c r="C107" s="18">
        <f>1895.569+21.434-91.794+9.38-56.6</f>
        <v>1777.989</v>
      </c>
      <c r="D107" s="53">
        <f>1304.035-67.095-27</f>
        <v>1209.94</v>
      </c>
      <c r="E107" s="18">
        <f>92.1+9.38-10</f>
        <v>91.47999999999999</v>
      </c>
      <c r="F107" s="18">
        <f>G107+J107</f>
        <v>19.3</v>
      </c>
      <c r="G107" s="18"/>
      <c r="H107" s="18"/>
      <c r="I107" s="18"/>
      <c r="J107" s="18">
        <f>7+12.3</f>
        <v>19.3</v>
      </c>
      <c r="K107" s="18">
        <f>7+12.3</f>
        <v>19.3</v>
      </c>
      <c r="L107" s="18">
        <v>12.3</v>
      </c>
      <c r="M107" s="18">
        <f aca="true" t="shared" si="8" ref="M107:M113">SUM(C107,F107)</f>
        <v>1797.289</v>
      </c>
      <c r="N107" s="46"/>
    </row>
    <row r="108" spans="1:14" ht="15.75">
      <c r="A108" s="16" t="s">
        <v>21</v>
      </c>
      <c r="B108" s="9" t="s">
        <v>15</v>
      </c>
      <c r="C108" s="18">
        <f>354.518+1.695-11.568+7.67-26.5</f>
        <v>325.815</v>
      </c>
      <c r="D108" s="53">
        <f>226.774-8.487-12.6</f>
        <v>205.687</v>
      </c>
      <c r="E108" s="18">
        <f>38.275+7.67-7</f>
        <v>38.945</v>
      </c>
      <c r="F108" s="18"/>
      <c r="G108" s="18"/>
      <c r="H108" s="18"/>
      <c r="I108" s="18"/>
      <c r="J108" s="18"/>
      <c r="K108" s="18"/>
      <c r="L108" s="18"/>
      <c r="M108" s="18">
        <f t="shared" si="8"/>
        <v>325.815</v>
      </c>
      <c r="N108" s="46"/>
    </row>
    <row r="109" spans="1:14" ht="33.75" customHeight="1">
      <c r="A109" s="16" t="s">
        <v>23</v>
      </c>
      <c r="B109" s="9" t="s">
        <v>29</v>
      </c>
      <c r="C109" s="18">
        <f>768.313+3.608-29.534+11.96+18.35</f>
        <v>772.697</v>
      </c>
      <c r="D109" s="53">
        <f>488.2-21.68+23</f>
        <v>489.52</v>
      </c>
      <c r="E109" s="18">
        <f>81.163+11.96-7</f>
        <v>86.12299999999999</v>
      </c>
      <c r="F109" s="18">
        <f>G109+J109</f>
        <v>12.6</v>
      </c>
      <c r="G109" s="18">
        <v>12.6</v>
      </c>
      <c r="H109" s="18"/>
      <c r="I109" s="18"/>
      <c r="J109" s="18"/>
      <c r="K109" s="18"/>
      <c r="L109" s="18"/>
      <c r="M109" s="18">
        <f t="shared" si="8"/>
        <v>785.297</v>
      </c>
      <c r="N109" s="46"/>
    </row>
    <row r="110" spans="1:14" ht="19.5" customHeight="1">
      <c r="A110" s="16" t="s">
        <v>0</v>
      </c>
      <c r="B110" s="9" t="s">
        <v>1</v>
      </c>
      <c r="C110" s="18">
        <f>805.289+1.114-38.332+5.24-8.6</f>
        <v>764.711</v>
      </c>
      <c r="D110" s="53">
        <f>570.3-27.917-0.5</f>
        <v>541.8829999999999</v>
      </c>
      <c r="E110" s="18">
        <f>24.139+5.24-8</f>
        <v>21.378999999999998</v>
      </c>
      <c r="F110" s="18">
        <f>G110+J110</f>
        <v>32</v>
      </c>
      <c r="G110" s="18">
        <v>32</v>
      </c>
      <c r="H110" s="18">
        <v>20.4</v>
      </c>
      <c r="I110" s="18"/>
      <c r="J110" s="18"/>
      <c r="K110" s="18"/>
      <c r="L110" s="18"/>
      <c r="M110" s="18">
        <f t="shared" si="8"/>
        <v>796.711</v>
      </c>
      <c r="N110" s="46"/>
    </row>
    <row r="111" spans="1:14" ht="15.75">
      <c r="A111" s="16" t="s">
        <v>24</v>
      </c>
      <c r="B111" s="9" t="s">
        <v>16</v>
      </c>
      <c r="C111" s="18">
        <f>220.666+7.856-5.963+3.19+4.25</f>
        <v>229.999</v>
      </c>
      <c r="D111" s="53">
        <f>145.82-4.375+4</f>
        <v>145.445</v>
      </c>
      <c r="E111" s="18">
        <f>10.314+3.19</f>
        <v>13.504</v>
      </c>
      <c r="F111" s="18">
        <f>G111+J111</f>
        <v>6.3</v>
      </c>
      <c r="G111" s="18">
        <v>6.3</v>
      </c>
      <c r="H111" s="18"/>
      <c r="I111" s="18"/>
      <c r="J111" s="18"/>
      <c r="K111" s="18"/>
      <c r="L111" s="18"/>
      <c r="M111" s="18">
        <f t="shared" si="8"/>
        <v>236.299</v>
      </c>
      <c r="N111" s="46"/>
    </row>
    <row r="112" spans="1:14" ht="15.75">
      <c r="A112" s="16"/>
      <c r="B112" s="8" t="s">
        <v>10</v>
      </c>
      <c r="C112" s="37">
        <f aca="true" t="shared" si="9" ref="C112:L112">C107+C108+C109+C110+C111</f>
        <v>3871.2110000000002</v>
      </c>
      <c r="D112" s="37">
        <f t="shared" si="9"/>
        <v>2592.475</v>
      </c>
      <c r="E112" s="37">
        <f t="shared" si="9"/>
        <v>251.43099999999995</v>
      </c>
      <c r="F112" s="37">
        <f>F107+F108+F109+F110+F111</f>
        <v>70.2</v>
      </c>
      <c r="G112" s="37">
        <f t="shared" si="9"/>
        <v>50.9</v>
      </c>
      <c r="H112" s="37">
        <f t="shared" si="9"/>
        <v>20.4</v>
      </c>
      <c r="I112" s="37">
        <f t="shared" si="9"/>
        <v>0</v>
      </c>
      <c r="J112" s="37">
        <f t="shared" si="9"/>
        <v>19.3</v>
      </c>
      <c r="K112" s="37">
        <f t="shared" si="9"/>
        <v>19.3</v>
      </c>
      <c r="L112" s="37">
        <f t="shared" si="9"/>
        <v>12.3</v>
      </c>
      <c r="M112" s="37">
        <f t="shared" si="8"/>
        <v>3941.411</v>
      </c>
      <c r="N112" s="46"/>
    </row>
    <row r="113" spans="1:14" ht="14.25" customHeight="1" hidden="1">
      <c r="A113" s="16"/>
      <c r="B113" s="56"/>
      <c r="C113" s="57"/>
      <c r="D113" s="18"/>
      <c r="E113" s="34"/>
      <c r="F113" s="18"/>
      <c r="G113" s="18"/>
      <c r="H113" s="18"/>
      <c r="I113" s="18"/>
      <c r="J113" s="18"/>
      <c r="K113" s="18"/>
      <c r="L113" s="18"/>
      <c r="M113" s="18">
        <f t="shared" si="8"/>
        <v>0</v>
      </c>
      <c r="N113" s="46"/>
    </row>
    <row r="114" spans="1:14" ht="21.75" customHeight="1">
      <c r="A114" s="16" t="s">
        <v>160</v>
      </c>
      <c r="B114" s="8" t="s">
        <v>2</v>
      </c>
      <c r="C114" s="18"/>
      <c r="D114" s="18"/>
      <c r="E114" s="34"/>
      <c r="F114" s="18"/>
      <c r="G114" s="18"/>
      <c r="H114" s="18"/>
      <c r="I114" s="18"/>
      <c r="J114" s="18"/>
      <c r="K114" s="18"/>
      <c r="L114" s="18"/>
      <c r="M114" s="18"/>
      <c r="N114" s="46"/>
    </row>
    <row r="115" spans="1:14" ht="51" customHeight="1" hidden="1">
      <c r="A115" s="16"/>
      <c r="B115" s="9" t="s">
        <v>28</v>
      </c>
      <c r="C115" s="18"/>
      <c r="D115" s="34"/>
      <c r="E115" s="34"/>
      <c r="F115" s="34"/>
      <c r="G115" s="34"/>
      <c r="H115" s="34"/>
      <c r="I115" s="34"/>
      <c r="J115" s="34"/>
      <c r="K115" s="34"/>
      <c r="L115" s="34"/>
      <c r="M115" s="34">
        <f aca="true" t="shared" si="10" ref="M115:M124">SUM(C115,F115)</f>
        <v>0</v>
      </c>
      <c r="N115" s="46"/>
    </row>
    <row r="116" spans="1:14" ht="17.25" customHeight="1">
      <c r="A116" s="16" t="s">
        <v>171</v>
      </c>
      <c r="B116" s="9" t="s">
        <v>172</v>
      </c>
      <c r="C116" s="18">
        <f>10-1.415</f>
        <v>8.585</v>
      </c>
      <c r="D116" s="34"/>
      <c r="E116" s="34"/>
      <c r="F116" s="34"/>
      <c r="G116" s="34"/>
      <c r="H116" s="34"/>
      <c r="I116" s="34"/>
      <c r="J116" s="34"/>
      <c r="K116" s="34"/>
      <c r="L116" s="34"/>
      <c r="M116" s="18">
        <f t="shared" si="10"/>
        <v>8.585</v>
      </c>
      <c r="N116" s="46"/>
    </row>
    <row r="117" spans="1:14" ht="47.25" customHeight="1">
      <c r="A117" s="58">
        <v>250311</v>
      </c>
      <c r="B117" s="13" t="s">
        <v>144</v>
      </c>
      <c r="C117" s="18">
        <f>10771.941-71.943</f>
        <v>10699.998000000001</v>
      </c>
      <c r="D117" s="34"/>
      <c r="E117" s="34"/>
      <c r="F117" s="34"/>
      <c r="G117" s="34"/>
      <c r="H117" s="34"/>
      <c r="I117" s="34"/>
      <c r="J117" s="34"/>
      <c r="K117" s="34"/>
      <c r="L117" s="34"/>
      <c r="M117" s="18">
        <f t="shared" si="10"/>
        <v>10699.998000000001</v>
      </c>
      <c r="N117" s="46"/>
    </row>
    <row r="118" spans="1:14" ht="32.25" customHeight="1">
      <c r="A118" s="16" t="s">
        <v>103</v>
      </c>
      <c r="B118" s="28" t="s">
        <v>145</v>
      </c>
      <c r="C118" s="18">
        <v>311.5</v>
      </c>
      <c r="D118" s="34"/>
      <c r="E118" s="34"/>
      <c r="F118" s="34"/>
      <c r="G118" s="34"/>
      <c r="H118" s="34"/>
      <c r="I118" s="34"/>
      <c r="J118" s="34"/>
      <c r="K118" s="34"/>
      <c r="L118" s="34"/>
      <c r="M118" s="18">
        <f t="shared" si="10"/>
        <v>311.5</v>
      </c>
      <c r="N118" s="46"/>
    </row>
    <row r="119" spans="1:14" ht="64.5" customHeight="1" hidden="1">
      <c r="A119" s="16"/>
      <c r="B119" s="25"/>
      <c r="C119" s="34"/>
      <c r="D119" s="34"/>
      <c r="E119" s="34"/>
      <c r="F119" s="34"/>
      <c r="G119" s="34"/>
      <c r="H119" s="34"/>
      <c r="I119" s="34"/>
      <c r="J119" s="34"/>
      <c r="K119" s="34"/>
      <c r="L119" s="34"/>
      <c r="M119" s="18">
        <f t="shared" si="10"/>
        <v>0</v>
      </c>
      <c r="N119" s="46"/>
    </row>
    <row r="120" spans="1:14" ht="87.75" customHeight="1">
      <c r="A120" s="16" t="s">
        <v>194</v>
      </c>
      <c r="B120" s="28" t="s">
        <v>195</v>
      </c>
      <c r="C120" s="18">
        <v>9</v>
      </c>
      <c r="D120" s="34"/>
      <c r="E120" s="34"/>
      <c r="F120" s="34"/>
      <c r="G120" s="34"/>
      <c r="H120" s="34"/>
      <c r="I120" s="34"/>
      <c r="J120" s="34"/>
      <c r="K120" s="34"/>
      <c r="L120" s="34"/>
      <c r="M120" s="18">
        <f t="shared" si="10"/>
        <v>9</v>
      </c>
      <c r="N120" s="46"/>
    </row>
    <row r="121" spans="1:14" ht="48.75" customHeight="1">
      <c r="A121" s="16" t="s">
        <v>151</v>
      </c>
      <c r="B121" s="28" t="s">
        <v>152</v>
      </c>
      <c r="C121" s="34"/>
      <c r="D121" s="34"/>
      <c r="E121" s="34"/>
      <c r="F121" s="18">
        <f>G121+J121</f>
        <v>1163.6999999999998</v>
      </c>
      <c r="G121" s="18">
        <f>272.5+98.4</f>
        <v>370.9</v>
      </c>
      <c r="H121" s="18"/>
      <c r="I121" s="18"/>
      <c r="J121" s="18">
        <f>579.1+213.7</f>
        <v>792.8</v>
      </c>
      <c r="K121" s="18"/>
      <c r="L121" s="18"/>
      <c r="M121" s="18">
        <f t="shared" si="10"/>
        <v>1163.6999999999998</v>
      </c>
      <c r="N121" s="46"/>
    </row>
    <row r="122" spans="1:14" ht="52.5" customHeight="1">
      <c r="A122" s="16" t="s">
        <v>161</v>
      </c>
      <c r="B122" s="28" t="s">
        <v>183</v>
      </c>
      <c r="C122" s="18">
        <v>100</v>
      </c>
      <c r="D122" s="34"/>
      <c r="E122" s="34"/>
      <c r="F122" s="34"/>
      <c r="G122" s="34"/>
      <c r="H122" s="34"/>
      <c r="I122" s="34"/>
      <c r="J122" s="34"/>
      <c r="K122" s="34"/>
      <c r="L122" s="34"/>
      <c r="M122" s="18">
        <f t="shared" si="10"/>
        <v>100</v>
      </c>
      <c r="N122" s="46"/>
    </row>
    <row r="123" spans="1:14" ht="85.5" customHeight="1">
      <c r="A123" s="16" t="s">
        <v>161</v>
      </c>
      <c r="B123" s="75" t="s">
        <v>196</v>
      </c>
      <c r="C123" s="18"/>
      <c r="D123" s="34"/>
      <c r="E123" s="34"/>
      <c r="F123" s="76">
        <f>G123+J123</f>
        <v>48.18355</v>
      </c>
      <c r="G123" s="76">
        <v>6.23748</v>
      </c>
      <c r="H123" s="18"/>
      <c r="I123" s="18"/>
      <c r="J123" s="76">
        <v>41.94607</v>
      </c>
      <c r="K123" s="34"/>
      <c r="L123" s="34"/>
      <c r="M123" s="76">
        <f t="shared" si="10"/>
        <v>48.18355</v>
      </c>
      <c r="N123" s="46"/>
    </row>
    <row r="124" spans="1:14" ht="0.75" customHeight="1">
      <c r="A124" s="16"/>
      <c r="B124" s="30"/>
      <c r="C124" s="18"/>
      <c r="D124" s="34"/>
      <c r="E124" s="34"/>
      <c r="F124" s="34"/>
      <c r="G124" s="34"/>
      <c r="H124" s="34"/>
      <c r="I124" s="34"/>
      <c r="J124" s="34"/>
      <c r="K124" s="34"/>
      <c r="L124" s="34"/>
      <c r="M124" s="18">
        <f t="shared" si="10"/>
        <v>0</v>
      </c>
      <c r="N124" s="46"/>
    </row>
    <row r="125" spans="1:14" ht="14.25" customHeight="1">
      <c r="A125" s="16"/>
      <c r="B125" s="14" t="s">
        <v>3</v>
      </c>
      <c r="C125" s="59">
        <f>C116+C117+C118+C121+C122+C124+C120</f>
        <v>11129.083</v>
      </c>
      <c r="D125" s="34"/>
      <c r="E125" s="34"/>
      <c r="F125" s="78">
        <f>G125+J125</f>
        <v>1211.88355</v>
      </c>
      <c r="G125" s="78">
        <f aca="true" t="shared" si="11" ref="G125:L125">G116+G117+G118+G121+G122+G123</f>
        <v>377.13748</v>
      </c>
      <c r="H125" s="78">
        <f t="shared" si="11"/>
        <v>0</v>
      </c>
      <c r="I125" s="78">
        <f t="shared" si="11"/>
        <v>0</v>
      </c>
      <c r="J125" s="78">
        <f t="shared" si="11"/>
        <v>834.7460699999999</v>
      </c>
      <c r="K125" s="59">
        <f t="shared" si="11"/>
        <v>0</v>
      </c>
      <c r="L125" s="59">
        <f t="shared" si="11"/>
        <v>0</v>
      </c>
      <c r="M125" s="76">
        <f>SUM(C125,F125)</f>
        <v>12340.966550000001</v>
      </c>
      <c r="N125" s="46"/>
    </row>
    <row r="126" spans="1:14" ht="61.5" customHeight="1" hidden="1">
      <c r="A126" s="16"/>
      <c r="B126" s="13"/>
      <c r="C126" s="18"/>
      <c r="D126" s="34"/>
      <c r="E126" s="34"/>
      <c r="F126" s="34"/>
      <c r="G126" s="34"/>
      <c r="H126" s="34"/>
      <c r="I126" s="34"/>
      <c r="J126" s="34"/>
      <c r="K126" s="34"/>
      <c r="L126" s="34"/>
      <c r="M126" s="34"/>
      <c r="N126" s="46"/>
    </row>
    <row r="127" spans="1:14" ht="18.75">
      <c r="A127" s="16"/>
      <c r="B127" s="60" t="s">
        <v>116</v>
      </c>
      <c r="C127" s="77">
        <f>C125+C112+C103+C53+C35+C18</f>
        <v>153001.81961000004</v>
      </c>
      <c r="D127" s="37">
        <f>D125+D112+D103+D53+D35+D18</f>
        <v>43090.933</v>
      </c>
      <c r="E127" s="37">
        <f>E125+E112+E103+E53+E35+E18</f>
        <v>6623.014</v>
      </c>
      <c r="F127" s="77">
        <f>G127+J127</f>
        <v>2716.9735499999997</v>
      </c>
      <c r="G127" s="77">
        <f aca="true" t="shared" si="12" ref="G127:L127">G125+G112+G103+G53+G35+G18</f>
        <v>1185.03648</v>
      </c>
      <c r="H127" s="37">
        <f t="shared" si="12"/>
        <v>163.9</v>
      </c>
      <c r="I127" s="37">
        <f t="shared" si="12"/>
        <v>0</v>
      </c>
      <c r="J127" s="77">
        <f t="shared" si="12"/>
        <v>1531.93707</v>
      </c>
      <c r="K127" s="37">
        <f t="shared" si="12"/>
        <v>323.80600000000004</v>
      </c>
      <c r="L127" s="37">
        <f t="shared" si="12"/>
        <v>264.085</v>
      </c>
      <c r="M127" s="77">
        <f>C127+F127</f>
        <v>155718.79316000003</v>
      </c>
      <c r="N127" s="46"/>
    </row>
    <row r="128" spans="1:16" ht="31.5">
      <c r="A128" s="16"/>
      <c r="B128" s="9" t="s">
        <v>104</v>
      </c>
      <c r="C128" s="18">
        <f>C100+C99+C95+C81+C80+C79+C78+C77+C76+C75+C74+C73+C72+C71+C70+C69+C67+C66+C65+C64+C63+C61+C59+C58+C57+C56+C124+C121+C39+C24+C102</f>
        <v>62498.59999999997</v>
      </c>
      <c r="D128" s="34"/>
      <c r="E128" s="34"/>
      <c r="F128" s="76">
        <f>G128+J128</f>
        <v>1750.16755</v>
      </c>
      <c r="G128" s="76">
        <f>G101+G100+G99+G95+G81+G80+G79+G78+G77+G76+G75+G74+G73+G72+G71+G70+G69+G67+G66+G65+G64+G63+G61+G59+G58+G57+G56+G124+G121+G39+G24+G29+G123</f>
        <v>542.03648</v>
      </c>
      <c r="H128" s="34"/>
      <c r="I128" s="34"/>
      <c r="J128" s="76">
        <f>J101+J100+J99+J95+J81+J80+J79+J78+J77+J76+J75+J74+J73+J72+J71+J70+J69+J67+J66+J65+J64+J63+J61+J59+J58+J57+J56+J124+J121+J39+J24+J29+J123</f>
        <v>1208.13107</v>
      </c>
      <c r="K128" s="18">
        <f>K101+K100+K99+K95+K81+K80+K79+K78+K77+K76+K75+K74+K73+K72+K71+K70+K69+K67+K66+K65+K64+K63+K61+K59+K58+K57+K56+K124+K121+K39+K24+K29</f>
        <v>0</v>
      </c>
      <c r="L128" s="18">
        <f>L101+L100+L99+L95+L81+L80+L79+L78+L77+L76+L75+L74+L73+L72+L71+L70+L69+L67+L66+L65+L64+L63+L61+L59+L58+L57+L56+L124+L121+L39+L24+L29</f>
        <v>0</v>
      </c>
      <c r="M128" s="76">
        <f>F128+C128</f>
        <v>64248.76754999997</v>
      </c>
      <c r="N128" s="46"/>
      <c r="P128" s="11"/>
    </row>
    <row r="129" spans="1:14" ht="23.25" customHeight="1">
      <c r="A129" s="61"/>
      <c r="B129" s="97" t="s">
        <v>125</v>
      </c>
      <c r="C129" s="97"/>
      <c r="D129" s="32"/>
      <c r="E129" s="33"/>
      <c r="F129" s="62"/>
      <c r="G129" s="106" t="s">
        <v>126</v>
      </c>
      <c r="H129" s="106"/>
      <c r="I129" s="106"/>
      <c r="J129" s="106"/>
      <c r="K129" s="63"/>
      <c r="L129" s="64" t="s">
        <v>99</v>
      </c>
      <c r="M129" s="63"/>
      <c r="N129" s="65"/>
    </row>
    <row r="130" spans="1:14" ht="12.75" customHeight="1">
      <c r="A130" s="61"/>
      <c r="B130" s="8"/>
      <c r="C130" s="18"/>
      <c r="D130" s="18"/>
      <c r="E130" s="18"/>
      <c r="F130" s="63"/>
      <c r="G130" s="63"/>
      <c r="H130" s="63"/>
      <c r="I130" s="63"/>
      <c r="J130" s="63"/>
      <c r="K130" s="63"/>
      <c r="L130" s="63"/>
      <c r="M130" s="63"/>
      <c r="N130" s="33"/>
    </row>
    <row r="131" spans="1:14" ht="15.75" hidden="1">
      <c r="A131" s="61"/>
      <c r="B131" s="9"/>
      <c r="C131" s="46"/>
      <c r="D131" s="46"/>
      <c r="E131" s="46"/>
      <c r="F131" s="33"/>
      <c r="G131" s="33"/>
      <c r="H131" s="33"/>
      <c r="I131" s="33"/>
      <c r="J131" s="33"/>
      <c r="K131" s="33"/>
      <c r="L131" s="33"/>
      <c r="M131" s="33"/>
      <c r="N131" s="33"/>
    </row>
    <row r="132" spans="1:14" ht="15.75" hidden="1">
      <c r="A132" s="61"/>
      <c r="B132" s="66"/>
      <c r="C132" s="18"/>
      <c r="D132" s="18"/>
      <c r="E132" s="18"/>
      <c r="F132" s="63">
        <f>SUM(G132,J132)</f>
        <v>2</v>
      </c>
      <c r="G132" s="63">
        <f>SUM(G14)</f>
        <v>2</v>
      </c>
      <c r="H132" s="63">
        <f>SUM(H14)</f>
        <v>0</v>
      </c>
      <c r="I132" s="63">
        <f>SUM(I14)</f>
        <v>0</v>
      </c>
      <c r="J132" s="63">
        <f>SUM(J14)</f>
        <v>0</v>
      </c>
      <c r="K132" s="63"/>
      <c r="L132" s="63"/>
      <c r="M132" s="63" t="e">
        <f>SUM(#REF!,F132)</f>
        <v>#REF!</v>
      </c>
      <c r="N132" s="33"/>
    </row>
    <row r="133" spans="1:14" ht="15.75" hidden="1">
      <c r="A133" s="61"/>
      <c r="B133" s="66"/>
      <c r="C133" s="18"/>
      <c r="D133" s="18"/>
      <c r="E133" s="18"/>
      <c r="F133" s="63" t="e">
        <f aca="true" t="shared" si="13" ref="F133:F152">SUM(G133,J133)</f>
        <v>#REF!</v>
      </c>
      <c r="G133" s="63" t="e">
        <f>SUM(#REF!)</f>
        <v>#REF!</v>
      </c>
      <c r="H133" s="63" t="e">
        <f>SUM(#REF!)</f>
        <v>#REF!</v>
      </c>
      <c r="I133" s="63" t="e">
        <f>SUM(#REF!)</f>
        <v>#REF!</v>
      </c>
      <c r="J133" s="63" t="e">
        <f>SUM(#REF!)</f>
        <v>#REF!</v>
      </c>
      <c r="K133" s="63"/>
      <c r="L133" s="63"/>
      <c r="M133" s="63" t="e">
        <f>SUM(#REF!,F133)</f>
        <v>#REF!</v>
      </c>
      <c r="N133" s="33"/>
    </row>
    <row r="134" spans="1:14" ht="15.75" hidden="1">
      <c r="A134" s="61"/>
      <c r="B134" s="66"/>
      <c r="C134" s="18"/>
      <c r="D134" s="18"/>
      <c r="E134" s="18"/>
      <c r="F134" s="63" t="e">
        <f t="shared" si="13"/>
        <v>#REF!</v>
      </c>
      <c r="G134" s="63" t="e">
        <f>SUM(G35,#REF!,#REF!,#REF!,#REF!)</f>
        <v>#REF!</v>
      </c>
      <c r="H134" s="63" t="e">
        <f>SUM(H35,#REF!,#REF!,#REF!,#REF!)</f>
        <v>#REF!</v>
      </c>
      <c r="I134" s="63" t="e">
        <f>SUM(I35,#REF!,#REF!,#REF!,#REF!)</f>
        <v>#REF!</v>
      </c>
      <c r="J134" s="63" t="e">
        <f>SUM(J35,#REF!,#REF!,#REF!,#REF!)</f>
        <v>#REF!</v>
      </c>
      <c r="K134" s="63"/>
      <c r="L134" s="63"/>
      <c r="M134" s="63" t="e">
        <f>SUM(#REF!,F134)</f>
        <v>#REF!</v>
      </c>
      <c r="N134" s="33"/>
    </row>
    <row r="135" spans="1:14" ht="15.75" hidden="1">
      <c r="A135" s="61"/>
      <c r="B135" s="66"/>
      <c r="C135" s="18"/>
      <c r="D135" s="18"/>
      <c r="E135" s="18"/>
      <c r="F135" s="63">
        <f t="shared" si="13"/>
        <v>142.851</v>
      </c>
      <c r="G135" s="63">
        <f>SUM(G37)</f>
        <v>25.7</v>
      </c>
      <c r="H135" s="63">
        <f>SUM(H37)</f>
        <v>0</v>
      </c>
      <c r="I135" s="63">
        <f>SUM(I37)</f>
        <v>0</v>
      </c>
      <c r="J135" s="63">
        <f>SUM(J37)</f>
        <v>117.15100000000001</v>
      </c>
      <c r="K135" s="63"/>
      <c r="L135" s="63"/>
      <c r="M135" s="63" t="e">
        <f>SUM(#REF!,F135)</f>
        <v>#REF!</v>
      </c>
      <c r="N135" s="33"/>
    </row>
    <row r="136" spans="1:14" ht="15.75" hidden="1">
      <c r="A136" s="61"/>
      <c r="B136" s="66"/>
      <c r="C136" s="18"/>
      <c r="D136" s="18"/>
      <c r="E136" s="18"/>
      <c r="F136" s="63" t="e">
        <f t="shared" si="13"/>
        <v>#REF!</v>
      </c>
      <c r="G136" s="63" t="e">
        <f>SUM(G56:G59,#REF!)</f>
        <v>#REF!</v>
      </c>
      <c r="H136" s="63" t="e">
        <f>SUM(H56:H59,#REF!)</f>
        <v>#REF!</v>
      </c>
      <c r="I136" s="63" t="e">
        <f>SUM(I56:I59,#REF!)</f>
        <v>#REF!</v>
      </c>
      <c r="J136" s="63" t="e">
        <f>SUM(J56:J59,#REF!)</f>
        <v>#REF!</v>
      </c>
      <c r="K136" s="63"/>
      <c r="L136" s="63"/>
      <c r="M136" s="63" t="e">
        <f>SUM(#REF!,F136)</f>
        <v>#REF!</v>
      </c>
      <c r="N136" s="33"/>
    </row>
    <row r="137" spans="1:14" ht="12.75" customHeight="1" hidden="1">
      <c r="A137" s="61"/>
      <c r="B137" s="66"/>
      <c r="C137" s="18"/>
      <c r="D137" s="18"/>
      <c r="E137" s="18"/>
      <c r="F137" s="63" t="e">
        <f>SUM(#REF!)</f>
        <v>#REF!</v>
      </c>
      <c r="G137" s="63" t="e">
        <f>SUM(#REF!)</f>
        <v>#REF!</v>
      </c>
      <c r="H137" s="63" t="e">
        <f>SUM(#REF!)</f>
        <v>#REF!</v>
      </c>
      <c r="I137" s="63" t="e">
        <f>SUM(#REF!)</f>
        <v>#REF!</v>
      </c>
      <c r="J137" s="63" t="e">
        <f>SUM(#REF!)</f>
        <v>#REF!</v>
      </c>
      <c r="K137" s="63"/>
      <c r="L137" s="63"/>
      <c r="M137" s="63" t="e">
        <f>SUM(#REF!,F137)</f>
        <v>#REF!</v>
      </c>
      <c r="N137" s="33"/>
    </row>
    <row r="138" spans="1:14" ht="15.75" hidden="1">
      <c r="A138" s="61"/>
      <c r="B138" s="66"/>
      <c r="C138" s="18"/>
      <c r="D138" s="18"/>
      <c r="E138" s="18"/>
      <c r="F138" s="63" t="e">
        <f t="shared" si="13"/>
        <v>#REF!</v>
      </c>
      <c r="G138" s="63" t="e">
        <f>SUM(#REF!,G106)</f>
        <v>#REF!</v>
      </c>
      <c r="H138" s="63" t="e">
        <f>SUM(#REF!,H106)</f>
        <v>#REF!</v>
      </c>
      <c r="I138" s="63" t="e">
        <f>SUM(#REF!,I106)</f>
        <v>#REF!</v>
      </c>
      <c r="J138" s="63" t="e">
        <f>SUM(#REF!,J106)</f>
        <v>#REF!</v>
      </c>
      <c r="K138" s="63"/>
      <c r="L138" s="63"/>
      <c r="M138" s="63" t="e">
        <f>SUM(#REF!,F138)</f>
        <v>#REF!</v>
      </c>
      <c r="N138" s="33"/>
    </row>
    <row r="139" spans="1:14" ht="15.75" hidden="1">
      <c r="A139" s="61"/>
      <c r="B139" s="66"/>
      <c r="C139" s="18"/>
      <c r="D139" s="18"/>
      <c r="E139" s="18"/>
      <c r="F139" s="63" t="e">
        <f t="shared" si="13"/>
        <v>#REF!</v>
      </c>
      <c r="G139" s="63" t="e">
        <f>SUM(#REF!,#REF!)</f>
        <v>#REF!</v>
      </c>
      <c r="H139" s="63" t="e">
        <f>SUM(#REF!,#REF!)</f>
        <v>#REF!</v>
      </c>
      <c r="I139" s="63" t="e">
        <f>SUM(#REF!,#REF!)</f>
        <v>#REF!</v>
      </c>
      <c r="J139" s="63" t="e">
        <f>SUM(#REF!,#REF!)</f>
        <v>#REF!</v>
      </c>
      <c r="K139" s="63"/>
      <c r="L139" s="63"/>
      <c r="M139" s="63" t="e">
        <f>SUM(#REF!,F139)</f>
        <v>#REF!</v>
      </c>
      <c r="N139" s="33"/>
    </row>
    <row r="140" spans="1:14" ht="15.75" hidden="1">
      <c r="A140" s="61"/>
      <c r="B140" s="66"/>
      <c r="C140" s="18"/>
      <c r="D140" s="18"/>
      <c r="E140" s="18"/>
      <c r="F140" s="63" t="e">
        <f t="shared" si="13"/>
        <v>#REF!</v>
      </c>
      <c r="G140" s="63" t="e">
        <f>SUM(#REF!)</f>
        <v>#REF!</v>
      </c>
      <c r="H140" s="63" t="e">
        <f>SUM(#REF!)</f>
        <v>#REF!</v>
      </c>
      <c r="I140" s="63" t="e">
        <f>SUM(#REF!)</f>
        <v>#REF!</v>
      </c>
      <c r="J140" s="63" t="e">
        <f>SUM(#REF!)</f>
        <v>#REF!</v>
      </c>
      <c r="K140" s="63"/>
      <c r="L140" s="63"/>
      <c r="M140" s="63" t="e">
        <f>SUM(#REF!,F140)</f>
        <v>#REF!</v>
      </c>
      <c r="N140" s="33"/>
    </row>
    <row r="141" spans="1:14" ht="15.75" hidden="1">
      <c r="A141" s="61"/>
      <c r="B141" s="66"/>
      <c r="C141" s="18"/>
      <c r="D141" s="18"/>
      <c r="E141" s="18"/>
      <c r="F141" s="63" t="e">
        <f t="shared" si="13"/>
        <v>#REF!</v>
      </c>
      <c r="G141" s="63" t="e">
        <f>SUM(#REF!,#REF!,#REF!,#REF!,#REF!,#REF!,#REF!,#REF!,#REF!,#REF!,#REF!)</f>
        <v>#REF!</v>
      </c>
      <c r="H141" s="63" t="e">
        <f>SUM(#REF!,#REF!,#REF!,#REF!,#REF!,#REF!,#REF!,#REF!,#REF!,#REF!,#REF!)</f>
        <v>#REF!</v>
      </c>
      <c r="I141" s="63" t="e">
        <f>SUM(#REF!,#REF!,#REF!,#REF!,#REF!,#REF!,#REF!,#REF!,#REF!,#REF!,#REF!)</f>
        <v>#REF!</v>
      </c>
      <c r="J141" s="63" t="e">
        <f>SUM(#REF!,#REF!,#REF!,#REF!,#REF!,#REF!,#REF!,#REF!,#REF!,#REF!,#REF!)</f>
        <v>#REF!</v>
      </c>
      <c r="K141" s="63"/>
      <c r="L141" s="63"/>
      <c r="M141" s="63" t="e">
        <f>SUM(#REF!,F141)</f>
        <v>#REF!</v>
      </c>
      <c r="N141" s="33"/>
    </row>
    <row r="142" spans="1:14" ht="15.75" hidden="1">
      <c r="A142" s="61"/>
      <c r="B142" s="66"/>
      <c r="C142" s="18"/>
      <c r="D142" s="18"/>
      <c r="E142" s="18"/>
      <c r="F142" s="63" t="e">
        <f t="shared" si="13"/>
        <v>#REF!</v>
      </c>
      <c r="G142" s="63" t="e">
        <f>SUM(#REF!)</f>
        <v>#REF!</v>
      </c>
      <c r="H142" s="63" t="e">
        <f>SUM(#REF!)</f>
        <v>#REF!</v>
      </c>
      <c r="I142" s="63" t="e">
        <f>SUM(#REF!)</f>
        <v>#REF!</v>
      </c>
      <c r="J142" s="63" t="e">
        <f>SUM(#REF!)</f>
        <v>#REF!</v>
      </c>
      <c r="K142" s="63"/>
      <c r="L142" s="63"/>
      <c r="M142" s="63" t="e">
        <f>SUM(#REF!,F142)</f>
        <v>#REF!</v>
      </c>
      <c r="N142" s="33"/>
    </row>
    <row r="143" spans="1:14" ht="15.75" hidden="1">
      <c r="A143" s="61"/>
      <c r="B143" s="66"/>
      <c r="C143" s="18"/>
      <c r="D143" s="18"/>
      <c r="E143" s="18"/>
      <c r="F143" s="63" t="e">
        <f t="shared" si="13"/>
        <v>#REF!</v>
      </c>
      <c r="G143" s="63" t="e">
        <f>SUM(#REF!,#REF!,#REF!,#REF!,#REF!,#REF!)</f>
        <v>#REF!</v>
      </c>
      <c r="H143" s="63" t="e">
        <f>SUM(#REF!,#REF!,#REF!,#REF!,#REF!,#REF!)</f>
        <v>#REF!</v>
      </c>
      <c r="I143" s="63" t="e">
        <f>SUM(#REF!,#REF!,#REF!,#REF!,#REF!,#REF!)</f>
        <v>#REF!</v>
      </c>
      <c r="J143" s="63" t="e">
        <f>SUM(#REF!,#REF!,#REF!,#REF!,#REF!,#REF!)</f>
        <v>#REF!</v>
      </c>
      <c r="K143" s="63"/>
      <c r="L143" s="63"/>
      <c r="M143" s="63" t="e">
        <f>SUM(#REF!,F143)</f>
        <v>#REF!</v>
      </c>
      <c r="N143" s="33"/>
    </row>
    <row r="144" spans="1:14" ht="15.75" hidden="1">
      <c r="A144" s="61"/>
      <c r="B144" s="66"/>
      <c r="C144" s="18"/>
      <c r="D144" s="18"/>
      <c r="E144" s="18"/>
      <c r="F144" s="63" t="e">
        <f t="shared" si="13"/>
        <v>#REF!</v>
      </c>
      <c r="G144" s="63" t="e">
        <f>SUM(#REF!,#REF!)</f>
        <v>#REF!</v>
      </c>
      <c r="H144" s="63" t="e">
        <f>SUM(#REF!,#REF!)</f>
        <v>#REF!</v>
      </c>
      <c r="I144" s="63" t="e">
        <f>SUM(#REF!,#REF!)</f>
        <v>#REF!</v>
      </c>
      <c r="J144" s="63" t="e">
        <f>SUM(#REF!,#REF!)</f>
        <v>#REF!</v>
      </c>
      <c r="K144" s="63"/>
      <c r="L144" s="63"/>
      <c r="M144" s="63" t="e">
        <f>SUM(#REF!,F144)</f>
        <v>#REF!</v>
      </c>
      <c r="N144" s="33"/>
    </row>
    <row r="145" spans="1:14" ht="15.75" hidden="1">
      <c r="A145" s="61"/>
      <c r="B145" s="66"/>
      <c r="C145" s="18"/>
      <c r="D145" s="18"/>
      <c r="E145" s="18"/>
      <c r="F145" s="63" t="e">
        <f t="shared" si="13"/>
        <v>#REF!</v>
      </c>
      <c r="G145" s="63" t="e">
        <f>SUM(#REF!)</f>
        <v>#REF!</v>
      </c>
      <c r="H145" s="63" t="e">
        <f>SUM(#REF!)</f>
        <v>#REF!</v>
      </c>
      <c r="I145" s="63" t="e">
        <f>SUM(#REF!)</f>
        <v>#REF!</v>
      </c>
      <c r="J145" s="63" t="e">
        <f>SUM(#REF!)</f>
        <v>#REF!</v>
      </c>
      <c r="K145" s="63"/>
      <c r="L145" s="63"/>
      <c r="M145" s="63" t="e">
        <f>SUM(#REF!,F145)</f>
        <v>#REF!</v>
      </c>
      <c r="N145" s="33"/>
    </row>
    <row r="146" spans="1:14" ht="15.75" hidden="1">
      <c r="A146" s="67"/>
      <c r="B146" s="66"/>
      <c r="C146" s="18"/>
      <c r="D146" s="18"/>
      <c r="E146" s="18"/>
      <c r="F146" s="63" t="e">
        <f t="shared" si="13"/>
        <v>#REF!</v>
      </c>
      <c r="G146" s="63" t="e">
        <f>SUM(#REF!,#REF!,#REF!,#REF!,#REF!)</f>
        <v>#REF!</v>
      </c>
      <c r="H146" s="63" t="e">
        <f>SUM(#REF!,#REF!,#REF!,#REF!,#REF!)</f>
        <v>#REF!</v>
      </c>
      <c r="I146" s="63" t="e">
        <f>SUM(#REF!,#REF!,#REF!,#REF!,#REF!)</f>
        <v>#REF!</v>
      </c>
      <c r="J146" s="63" t="e">
        <f>SUM(#REF!,#REF!,#REF!,#REF!,#REF!)</f>
        <v>#REF!</v>
      </c>
      <c r="K146" s="63"/>
      <c r="L146" s="63"/>
      <c r="M146" s="63" t="e">
        <f>SUM(#REF!,F146)</f>
        <v>#REF!</v>
      </c>
      <c r="N146" s="33"/>
    </row>
    <row r="147" spans="1:14" ht="15.75" hidden="1">
      <c r="A147" s="67"/>
      <c r="B147" s="66"/>
      <c r="C147" s="18"/>
      <c r="D147" s="18"/>
      <c r="E147" s="18"/>
      <c r="F147" s="63" t="e">
        <f>SUM(#REF!,#REF!,#REF!,#REF!,#REF!,F115)</f>
        <v>#REF!</v>
      </c>
      <c r="G147" s="63" t="e">
        <f>SUM(#REF!,#REF!,#REF!,#REF!,#REF!,G115)</f>
        <v>#REF!</v>
      </c>
      <c r="H147" s="63" t="e">
        <f>SUM(#REF!,#REF!,#REF!,#REF!,#REF!,H115)</f>
        <v>#REF!</v>
      </c>
      <c r="I147" s="63" t="e">
        <f>SUM(#REF!,#REF!,#REF!,#REF!,#REF!,I115)</f>
        <v>#REF!</v>
      </c>
      <c r="J147" s="63" t="e">
        <f>SUM(#REF!,#REF!,#REF!,#REF!,#REF!,J115)</f>
        <v>#REF!</v>
      </c>
      <c r="K147" s="63"/>
      <c r="L147" s="63"/>
      <c r="M147" s="63" t="e">
        <f>SUM(#REF!,F147)</f>
        <v>#REF!</v>
      </c>
      <c r="N147" s="33"/>
    </row>
    <row r="148" spans="1:14" ht="20.25" customHeight="1" hidden="1">
      <c r="A148" s="67"/>
      <c r="B148" s="66"/>
      <c r="C148" s="18"/>
      <c r="D148" s="18"/>
      <c r="E148" s="18"/>
      <c r="F148" s="63" t="e">
        <f t="shared" si="13"/>
        <v>#REF!</v>
      </c>
      <c r="G148" s="63" t="e">
        <f>SUM(#REF!)</f>
        <v>#REF!</v>
      </c>
      <c r="H148" s="63" t="e">
        <f>SUM(#REF!)</f>
        <v>#REF!</v>
      </c>
      <c r="I148" s="63" t="e">
        <f>SUM(#REF!)</f>
        <v>#REF!</v>
      </c>
      <c r="J148" s="63" t="e">
        <f>SUM(#REF!)</f>
        <v>#REF!</v>
      </c>
      <c r="K148" s="63"/>
      <c r="L148" s="63"/>
      <c r="M148" s="63" t="e">
        <f>SUM(#REF!,F148)</f>
        <v>#REF!</v>
      </c>
      <c r="N148" s="33"/>
    </row>
    <row r="149" spans="1:14" ht="21" customHeight="1" hidden="1">
      <c r="A149" s="67"/>
      <c r="B149" s="66"/>
      <c r="C149" s="18"/>
      <c r="D149" s="18"/>
      <c r="E149" s="18"/>
      <c r="F149" s="63" t="e">
        <f t="shared" si="13"/>
        <v>#REF!</v>
      </c>
      <c r="G149" s="63" t="e">
        <f>SUM(#REF!,#REF!)</f>
        <v>#REF!</v>
      </c>
      <c r="H149" s="63" t="e">
        <f>SUM(#REF!,#REF!)</f>
        <v>#REF!</v>
      </c>
      <c r="I149" s="63" t="e">
        <f>SUM(#REF!,#REF!)</f>
        <v>#REF!</v>
      </c>
      <c r="J149" s="63" t="e">
        <f>SUM(#REF!,#REF!)</f>
        <v>#REF!</v>
      </c>
      <c r="K149" s="63"/>
      <c r="L149" s="63"/>
      <c r="M149" s="63" t="e">
        <f>SUM(#REF!,F149)</f>
        <v>#REF!</v>
      </c>
      <c r="N149" s="33"/>
    </row>
    <row r="150" spans="1:14" ht="24.75" customHeight="1" hidden="1">
      <c r="A150" s="67"/>
      <c r="B150" s="66"/>
      <c r="C150" s="18"/>
      <c r="D150" s="18"/>
      <c r="E150" s="18"/>
      <c r="F150" s="63" t="e">
        <f t="shared" si="13"/>
        <v>#REF!</v>
      </c>
      <c r="G150" s="63" t="e">
        <f>SUM(#REF!,#REF!)</f>
        <v>#REF!</v>
      </c>
      <c r="H150" s="63" t="e">
        <f>SUM(#REF!,#REF!)</f>
        <v>#REF!</v>
      </c>
      <c r="I150" s="63" t="e">
        <f>SUM(#REF!,#REF!)</f>
        <v>#REF!</v>
      </c>
      <c r="J150" s="63" t="e">
        <f>SUM(#REF!,#REF!)</f>
        <v>#REF!</v>
      </c>
      <c r="K150" s="63"/>
      <c r="L150" s="63"/>
      <c r="M150" s="63" t="e">
        <f>SUM(#REF!,F150)</f>
        <v>#REF!</v>
      </c>
      <c r="N150" s="33"/>
    </row>
    <row r="151" spans="1:14" ht="24.75" customHeight="1" hidden="1">
      <c r="A151" s="67"/>
      <c r="B151" s="66"/>
      <c r="C151" s="18"/>
      <c r="D151" s="18"/>
      <c r="E151" s="18"/>
      <c r="F151" s="63">
        <f t="shared" si="13"/>
        <v>0</v>
      </c>
      <c r="G151" s="63"/>
      <c r="H151" s="63"/>
      <c r="I151" s="63"/>
      <c r="J151" s="63"/>
      <c r="K151" s="63"/>
      <c r="L151" s="63"/>
      <c r="M151" s="63" t="e">
        <f>SUM(#REF!,F151)</f>
        <v>#REF!</v>
      </c>
      <c r="N151" s="33"/>
    </row>
    <row r="152" spans="1:14" ht="19.5" customHeight="1" hidden="1">
      <c r="A152" s="67"/>
      <c r="B152" s="66"/>
      <c r="C152" s="18"/>
      <c r="D152" s="18"/>
      <c r="E152" s="18"/>
      <c r="F152" s="63" t="e">
        <f t="shared" si="13"/>
        <v>#REF!</v>
      </c>
      <c r="G152" s="63" t="e">
        <f>SUM(G132:G150)</f>
        <v>#REF!</v>
      </c>
      <c r="H152" s="63" t="e">
        <f>SUM(H132:H150)</f>
        <v>#REF!</v>
      </c>
      <c r="I152" s="63" t="e">
        <f>SUM(I132:I150)</f>
        <v>#REF!</v>
      </c>
      <c r="J152" s="63" t="e">
        <f>SUM(J132:J150)</f>
        <v>#REF!</v>
      </c>
      <c r="K152" s="63"/>
      <c r="L152" s="63"/>
      <c r="M152" s="63" t="e">
        <f>SUM(#REF!,F152)</f>
        <v>#REF!</v>
      </c>
      <c r="N152" s="33"/>
    </row>
    <row r="153" spans="1:14" ht="19.5" customHeight="1">
      <c r="A153" s="67"/>
      <c r="B153" s="66"/>
      <c r="C153" s="68"/>
      <c r="D153" s="68"/>
      <c r="E153" s="18"/>
      <c r="F153" s="63"/>
      <c r="G153" s="63"/>
      <c r="H153" s="63"/>
      <c r="I153" s="63"/>
      <c r="J153" s="63"/>
      <c r="K153" s="63"/>
      <c r="L153" s="63"/>
      <c r="M153" s="63"/>
      <c r="N153" s="33"/>
    </row>
    <row r="154" spans="1:14" ht="12.75">
      <c r="A154" s="67"/>
      <c r="B154" s="51"/>
      <c r="C154" s="69"/>
      <c r="D154" s="69"/>
      <c r="E154" s="46"/>
      <c r="F154" s="33"/>
      <c r="G154" s="33"/>
      <c r="H154" s="33"/>
      <c r="I154" s="33"/>
      <c r="J154" s="33"/>
      <c r="K154" s="33"/>
      <c r="L154" s="33"/>
      <c r="M154" s="33"/>
      <c r="N154" s="33"/>
    </row>
    <row r="155" spans="1:14" ht="15.75">
      <c r="A155" s="67"/>
      <c r="B155" s="51"/>
      <c r="C155" s="69"/>
      <c r="D155" s="69"/>
      <c r="E155" s="46"/>
      <c r="F155" s="33"/>
      <c r="G155" s="33"/>
      <c r="H155" s="33"/>
      <c r="I155" s="33"/>
      <c r="J155" s="33"/>
      <c r="K155" s="33"/>
      <c r="L155" s="33"/>
      <c r="M155" s="46"/>
      <c r="N155" s="37"/>
    </row>
    <row r="156" spans="1:14" ht="12.75">
      <c r="A156" s="67"/>
      <c r="B156" s="51"/>
      <c r="C156" s="46"/>
      <c r="D156" s="46"/>
      <c r="E156" s="46"/>
      <c r="F156" s="33"/>
      <c r="G156" s="33"/>
      <c r="H156" s="33"/>
      <c r="I156" s="33"/>
      <c r="J156" s="33"/>
      <c r="K156" s="33"/>
      <c r="L156" s="33"/>
      <c r="M156" s="33"/>
      <c r="N156" s="33"/>
    </row>
    <row r="157" spans="1:14" ht="20.25">
      <c r="A157" s="67"/>
      <c r="B157" s="51"/>
      <c r="C157" s="70"/>
      <c r="D157" s="71">
        <f>C112+C104+C53+C35+C18+C116</f>
        <v>73773.57261000002</v>
      </c>
      <c r="E157" s="46"/>
      <c r="F157" s="33"/>
      <c r="G157" s="33"/>
      <c r="H157" s="33"/>
      <c r="I157" s="33"/>
      <c r="J157" s="33"/>
      <c r="K157" s="33"/>
      <c r="L157" s="33"/>
      <c r="M157" s="33"/>
      <c r="N157" s="33"/>
    </row>
    <row r="158" spans="1:14" ht="12.75">
      <c r="A158" s="67"/>
      <c r="B158" s="51"/>
      <c r="C158" s="46"/>
      <c r="D158" s="46"/>
      <c r="E158" s="46"/>
      <c r="F158" s="33"/>
      <c r="G158" s="33"/>
      <c r="H158" s="33"/>
      <c r="I158" s="33"/>
      <c r="J158" s="33"/>
      <c r="K158" s="33"/>
      <c r="L158" s="33"/>
      <c r="M158" s="33"/>
      <c r="N158" s="33"/>
    </row>
    <row r="159" spans="1:14" ht="12.75">
      <c r="A159" s="67"/>
      <c r="B159" s="51"/>
      <c r="C159" s="46"/>
      <c r="D159" s="46"/>
      <c r="E159" s="46"/>
      <c r="F159" s="33"/>
      <c r="G159" s="33"/>
      <c r="H159" s="33"/>
      <c r="I159" s="33"/>
      <c r="J159" s="33"/>
      <c r="K159" s="33"/>
      <c r="L159" s="33"/>
      <c r="M159" s="33"/>
      <c r="N159" s="33"/>
    </row>
    <row r="160" spans="1:14" ht="12.75">
      <c r="A160" s="67"/>
      <c r="B160" s="51"/>
      <c r="C160" s="46"/>
      <c r="D160" s="46"/>
      <c r="E160" s="46"/>
      <c r="F160" s="33"/>
      <c r="G160" s="33"/>
      <c r="H160" s="33"/>
      <c r="I160" s="33"/>
      <c r="J160" s="33"/>
      <c r="K160" s="33"/>
      <c r="L160" s="33"/>
      <c r="M160" s="33"/>
      <c r="N160" s="33"/>
    </row>
    <row r="161" spans="1:14" ht="12.75">
      <c r="A161" s="67"/>
      <c r="B161" s="51"/>
      <c r="C161" s="46"/>
      <c r="D161" s="46"/>
      <c r="E161" s="46"/>
      <c r="F161" s="33"/>
      <c r="G161" s="33"/>
      <c r="H161" s="33"/>
      <c r="I161" s="33"/>
      <c r="J161" s="33"/>
      <c r="K161" s="33"/>
      <c r="L161" s="33"/>
      <c r="M161" s="33"/>
      <c r="N161" s="33"/>
    </row>
    <row r="162" spans="1:14" ht="12.75">
      <c r="A162" s="67"/>
      <c r="B162" s="51"/>
      <c r="C162" s="46"/>
      <c r="D162" s="46"/>
      <c r="E162" s="46"/>
      <c r="F162" s="33"/>
      <c r="G162" s="33"/>
      <c r="H162" s="33"/>
      <c r="I162" s="33"/>
      <c r="J162" s="33"/>
      <c r="K162" s="33"/>
      <c r="L162" s="33"/>
      <c r="M162" s="33"/>
      <c r="N162" s="33"/>
    </row>
    <row r="163" spans="1:14" ht="12.75">
      <c r="A163" s="67"/>
      <c r="B163" s="51"/>
      <c r="C163" s="46"/>
      <c r="D163" s="46"/>
      <c r="E163" s="46"/>
      <c r="F163" s="33"/>
      <c r="G163" s="33"/>
      <c r="H163" s="33"/>
      <c r="I163" s="33"/>
      <c r="J163" s="33"/>
      <c r="K163" s="33"/>
      <c r="L163" s="33"/>
      <c r="M163" s="33"/>
      <c r="N163" s="33"/>
    </row>
    <row r="164" spans="1:14" ht="12.75">
      <c r="A164" s="67"/>
      <c r="B164" s="51"/>
      <c r="C164" s="46"/>
      <c r="D164" s="46"/>
      <c r="E164" s="46"/>
      <c r="F164" s="33"/>
      <c r="G164" s="33"/>
      <c r="H164" s="33"/>
      <c r="I164" s="33"/>
      <c r="J164" s="33"/>
      <c r="K164" s="33"/>
      <c r="L164" s="33"/>
      <c r="M164" s="33"/>
      <c r="N164" s="33"/>
    </row>
    <row r="165" spans="1:14" ht="12.75">
      <c r="A165" s="67"/>
      <c r="B165" s="51"/>
      <c r="C165" s="46"/>
      <c r="D165" s="46"/>
      <c r="E165" s="46"/>
      <c r="F165" s="33"/>
      <c r="G165" s="33"/>
      <c r="H165" s="33"/>
      <c r="I165" s="33"/>
      <c r="J165" s="33"/>
      <c r="K165" s="33"/>
      <c r="L165" s="33"/>
      <c r="M165" s="33"/>
      <c r="N165" s="33"/>
    </row>
    <row r="166" spans="1:14" ht="12.75">
      <c r="A166" s="67"/>
      <c r="B166" s="51"/>
      <c r="C166" s="46"/>
      <c r="D166" s="46"/>
      <c r="E166" s="46"/>
      <c r="F166" s="33"/>
      <c r="G166" s="33"/>
      <c r="H166" s="33"/>
      <c r="I166" s="33"/>
      <c r="J166" s="33"/>
      <c r="K166" s="33"/>
      <c r="L166" s="33"/>
      <c r="M166" s="33"/>
      <c r="N166" s="33"/>
    </row>
    <row r="167" spans="1:14" ht="12.75">
      <c r="A167" s="67"/>
      <c r="B167" s="51"/>
      <c r="C167" s="46"/>
      <c r="D167" s="46"/>
      <c r="E167" s="46"/>
      <c r="F167" s="33"/>
      <c r="G167" s="33"/>
      <c r="H167" s="33"/>
      <c r="I167" s="33"/>
      <c r="J167" s="33"/>
      <c r="K167" s="33"/>
      <c r="L167" s="33"/>
      <c r="M167" s="33"/>
      <c r="N167" s="33"/>
    </row>
    <row r="168" spans="1:14" ht="12.75">
      <c r="A168" s="67"/>
      <c r="B168" s="51"/>
      <c r="C168" s="46"/>
      <c r="D168" s="46"/>
      <c r="E168" s="46"/>
      <c r="F168" s="33"/>
      <c r="G168" s="33"/>
      <c r="H168" s="33"/>
      <c r="I168" s="33"/>
      <c r="J168" s="33"/>
      <c r="K168" s="33"/>
      <c r="L168" s="33"/>
      <c r="M168" s="33"/>
      <c r="N168" s="33"/>
    </row>
    <row r="169" spans="1:14" ht="12.75">
      <c r="A169" s="67"/>
      <c r="B169" s="51"/>
      <c r="C169" s="46"/>
      <c r="D169" s="46"/>
      <c r="E169" s="46"/>
      <c r="F169" s="33"/>
      <c r="G169" s="33"/>
      <c r="H169" s="33"/>
      <c r="I169" s="33"/>
      <c r="J169" s="33"/>
      <c r="K169" s="33"/>
      <c r="L169" s="33"/>
      <c r="M169" s="33"/>
      <c r="N169" s="33"/>
    </row>
    <row r="170" spans="1:14" ht="12.75">
      <c r="A170" s="67"/>
      <c r="B170" s="51"/>
      <c r="C170" s="46"/>
      <c r="D170" s="46"/>
      <c r="E170" s="46"/>
      <c r="F170" s="33"/>
      <c r="G170" s="33"/>
      <c r="H170" s="33"/>
      <c r="I170" s="33"/>
      <c r="J170" s="33"/>
      <c r="K170" s="33"/>
      <c r="L170" s="33"/>
      <c r="M170" s="33"/>
      <c r="N170" s="33"/>
    </row>
    <row r="171" spans="1:14" ht="12.75">
      <c r="A171" s="67"/>
      <c r="B171" s="51"/>
      <c r="C171" s="46"/>
      <c r="D171" s="46"/>
      <c r="E171" s="46"/>
      <c r="F171" s="33"/>
      <c r="G171" s="33"/>
      <c r="H171" s="33"/>
      <c r="I171" s="33"/>
      <c r="J171" s="33"/>
      <c r="K171" s="33"/>
      <c r="L171" s="33"/>
      <c r="M171" s="33"/>
      <c r="N171" s="33"/>
    </row>
    <row r="172" spans="1:14" ht="12.75">
      <c r="A172" s="67"/>
      <c r="B172" s="51"/>
      <c r="C172" s="46"/>
      <c r="D172" s="46"/>
      <c r="E172" s="46"/>
      <c r="F172" s="33"/>
      <c r="G172" s="33"/>
      <c r="H172" s="33"/>
      <c r="I172" s="33"/>
      <c r="J172" s="33"/>
      <c r="K172" s="33"/>
      <c r="L172" s="33"/>
      <c r="M172" s="33"/>
      <c r="N172" s="33"/>
    </row>
    <row r="173" spans="1:14" ht="12.75">
      <c r="A173" s="67"/>
      <c r="B173" s="51"/>
      <c r="C173" s="46"/>
      <c r="D173" s="46"/>
      <c r="E173" s="46"/>
      <c r="F173" s="33"/>
      <c r="G173" s="33"/>
      <c r="H173" s="33"/>
      <c r="I173" s="33"/>
      <c r="J173" s="33"/>
      <c r="K173" s="33"/>
      <c r="L173" s="33"/>
      <c r="M173" s="33"/>
      <c r="N173" s="33"/>
    </row>
    <row r="174" spans="1:14" ht="12.75">
      <c r="A174" s="67"/>
      <c r="B174" s="51"/>
      <c r="C174" s="46"/>
      <c r="D174" s="46"/>
      <c r="E174" s="46"/>
      <c r="F174" s="33"/>
      <c r="G174" s="33"/>
      <c r="H174" s="33"/>
      <c r="I174" s="33"/>
      <c r="J174" s="33"/>
      <c r="K174" s="33"/>
      <c r="L174" s="33"/>
      <c r="M174" s="33"/>
      <c r="N174" s="33"/>
    </row>
    <row r="175" spans="1:14" ht="12.75">
      <c r="A175" s="67"/>
      <c r="B175" s="51"/>
      <c r="C175" s="46"/>
      <c r="D175" s="46"/>
      <c r="E175" s="46"/>
      <c r="F175" s="33"/>
      <c r="G175" s="33"/>
      <c r="H175" s="33"/>
      <c r="I175" s="33"/>
      <c r="J175" s="33"/>
      <c r="K175" s="33"/>
      <c r="L175" s="33"/>
      <c r="M175" s="33"/>
      <c r="N175" s="33"/>
    </row>
    <row r="176" spans="1:14" ht="12.75">
      <c r="A176" s="67"/>
      <c r="B176" s="51"/>
      <c r="C176" s="46"/>
      <c r="D176" s="46"/>
      <c r="E176" s="46"/>
      <c r="F176" s="33"/>
      <c r="G176" s="33"/>
      <c r="H176" s="33"/>
      <c r="I176" s="33"/>
      <c r="J176" s="33"/>
      <c r="K176" s="33"/>
      <c r="L176" s="33"/>
      <c r="M176" s="33"/>
      <c r="N176" s="33"/>
    </row>
    <row r="177" spans="1:14" ht="12.75">
      <c r="A177" s="67"/>
      <c r="B177" s="51"/>
      <c r="C177" s="46"/>
      <c r="D177" s="46"/>
      <c r="E177" s="46"/>
      <c r="F177" s="33"/>
      <c r="G177" s="33"/>
      <c r="H177" s="33"/>
      <c r="I177" s="33"/>
      <c r="J177" s="33"/>
      <c r="K177" s="33"/>
      <c r="L177" s="33"/>
      <c r="M177" s="33"/>
      <c r="N177" s="33"/>
    </row>
    <row r="178" spans="1:14" ht="12.75">
      <c r="A178" s="67"/>
      <c r="B178" s="51"/>
      <c r="C178" s="46"/>
      <c r="D178" s="46"/>
      <c r="E178" s="46"/>
      <c r="F178" s="33"/>
      <c r="G178" s="33"/>
      <c r="H178" s="33"/>
      <c r="I178" s="33"/>
      <c r="J178" s="33"/>
      <c r="K178" s="33"/>
      <c r="L178" s="33"/>
      <c r="M178" s="33"/>
      <c r="N178" s="33"/>
    </row>
    <row r="179" spans="1:14" ht="12.75">
      <c r="A179" s="67"/>
      <c r="B179" s="51"/>
      <c r="C179" s="46"/>
      <c r="D179" s="46"/>
      <c r="E179" s="46"/>
      <c r="F179" s="33"/>
      <c r="G179" s="33"/>
      <c r="H179" s="33"/>
      <c r="I179" s="33"/>
      <c r="J179" s="33"/>
      <c r="K179" s="33"/>
      <c r="L179" s="33"/>
      <c r="M179" s="33"/>
      <c r="N179" s="33"/>
    </row>
    <row r="180" spans="1:14" ht="12.75">
      <c r="A180" s="67"/>
      <c r="B180" s="51"/>
      <c r="C180" s="46"/>
      <c r="D180" s="46"/>
      <c r="E180" s="46"/>
      <c r="F180" s="33"/>
      <c r="G180" s="33"/>
      <c r="H180" s="33"/>
      <c r="I180" s="33"/>
      <c r="J180" s="33"/>
      <c r="K180" s="33"/>
      <c r="L180" s="33"/>
      <c r="M180" s="33"/>
      <c r="N180" s="33"/>
    </row>
    <row r="181" spans="1:14" ht="12.75">
      <c r="A181" s="67"/>
      <c r="B181" s="51"/>
      <c r="C181" s="46"/>
      <c r="D181" s="46"/>
      <c r="E181" s="46"/>
      <c r="F181" s="33"/>
      <c r="G181" s="33"/>
      <c r="H181" s="33"/>
      <c r="I181" s="33"/>
      <c r="J181" s="33"/>
      <c r="K181" s="33"/>
      <c r="L181" s="33"/>
      <c r="M181" s="33"/>
      <c r="N181" s="33"/>
    </row>
    <row r="182" spans="1:14" ht="12.75">
      <c r="A182" s="67"/>
      <c r="B182" s="51"/>
      <c r="C182" s="46"/>
      <c r="D182" s="46"/>
      <c r="E182" s="46"/>
      <c r="F182" s="33"/>
      <c r="G182" s="33"/>
      <c r="H182" s="33"/>
      <c r="I182" s="33"/>
      <c r="J182" s="33"/>
      <c r="K182" s="33"/>
      <c r="L182" s="33"/>
      <c r="M182" s="33"/>
      <c r="N182" s="33"/>
    </row>
    <row r="183" spans="1:14" ht="12.75">
      <c r="A183" s="67"/>
      <c r="B183" s="51"/>
      <c r="C183" s="46"/>
      <c r="D183" s="46"/>
      <c r="E183" s="46"/>
      <c r="F183" s="33"/>
      <c r="G183" s="33"/>
      <c r="H183" s="33"/>
      <c r="I183" s="33"/>
      <c r="J183" s="33"/>
      <c r="K183" s="33"/>
      <c r="L183" s="33"/>
      <c r="M183" s="33"/>
      <c r="N183" s="33"/>
    </row>
    <row r="184" spans="1:14" ht="12.75">
      <c r="A184" s="67"/>
      <c r="B184" s="51"/>
      <c r="C184" s="46"/>
      <c r="D184" s="46"/>
      <c r="E184" s="46"/>
      <c r="F184" s="33"/>
      <c r="G184" s="33"/>
      <c r="H184" s="33"/>
      <c r="I184" s="33"/>
      <c r="J184" s="33"/>
      <c r="K184" s="33"/>
      <c r="L184" s="33"/>
      <c r="M184" s="33"/>
      <c r="N184" s="33"/>
    </row>
    <row r="185" spans="1:14" ht="12.75">
      <c r="A185" s="67"/>
      <c r="B185" s="51"/>
      <c r="C185" s="46"/>
      <c r="D185" s="46"/>
      <c r="E185" s="46"/>
      <c r="F185" s="33"/>
      <c r="G185" s="33"/>
      <c r="H185" s="33"/>
      <c r="I185" s="33"/>
      <c r="J185" s="33"/>
      <c r="K185" s="33"/>
      <c r="L185" s="33"/>
      <c r="M185" s="33"/>
      <c r="N185" s="33"/>
    </row>
    <row r="186" spans="1:14" ht="12.75">
      <c r="A186" s="67"/>
      <c r="B186" s="51"/>
      <c r="C186" s="46"/>
      <c r="D186" s="46"/>
      <c r="E186" s="46"/>
      <c r="F186" s="33"/>
      <c r="G186" s="33"/>
      <c r="H186" s="33"/>
      <c r="I186" s="33"/>
      <c r="J186" s="33"/>
      <c r="K186" s="33"/>
      <c r="L186" s="33"/>
      <c r="M186" s="33"/>
      <c r="N186" s="33"/>
    </row>
    <row r="187" spans="1:14" ht="12.75">
      <c r="A187" s="67"/>
      <c r="B187" s="51"/>
      <c r="C187" s="46"/>
      <c r="D187" s="46"/>
      <c r="E187" s="46"/>
      <c r="F187" s="33"/>
      <c r="G187" s="33"/>
      <c r="H187" s="33"/>
      <c r="I187" s="33"/>
      <c r="J187" s="33"/>
      <c r="K187" s="33"/>
      <c r="L187" s="33"/>
      <c r="M187" s="33"/>
      <c r="N187" s="33"/>
    </row>
    <row r="188" spans="1:14" ht="12.75">
      <c r="A188" s="67"/>
      <c r="B188" s="51"/>
      <c r="C188" s="46"/>
      <c r="D188" s="46"/>
      <c r="E188" s="46"/>
      <c r="F188" s="33"/>
      <c r="G188" s="33"/>
      <c r="H188" s="33"/>
      <c r="I188" s="33"/>
      <c r="J188" s="33"/>
      <c r="K188" s="33"/>
      <c r="L188" s="33"/>
      <c r="M188" s="33"/>
      <c r="N188" s="33"/>
    </row>
    <row r="189" spans="1:14" ht="12.75">
      <c r="A189" s="67"/>
      <c r="B189" s="51"/>
      <c r="C189" s="46"/>
      <c r="D189" s="46"/>
      <c r="E189" s="46"/>
      <c r="F189" s="33"/>
      <c r="G189" s="33"/>
      <c r="H189" s="33"/>
      <c r="I189" s="33"/>
      <c r="J189" s="33"/>
      <c r="K189" s="33"/>
      <c r="L189" s="33"/>
      <c r="M189" s="33"/>
      <c r="N189" s="33"/>
    </row>
    <row r="190" spans="1:14" ht="12.75">
      <c r="A190" s="67"/>
      <c r="B190" s="51"/>
      <c r="C190" s="46"/>
      <c r="D190" s="46"/>
      <c r="E190" s="46"/>
      <c r="F190" s="33"/>
      <c r="G190" s="33"/>
      <c r="H190" s="33"/>
      <c r="I190" s="33"/>
      <c r="J190" s="33"/>
      <c r="K190" s="33"/>
      <c r="L190" s="33"/>
      <c r="M190" s="33"/>
      <c r="N190" s="33"/>
    </row>
    <row r="191" spans="1:14" ht="12.75">
      <c r="A191" s="67"/>
      <c r="B191" s="51"/>
      <c r="C191" s="46"/>
      <c r="D191" s="46"/>
      <c r="E191" s="46"/>
      <c r="F191" s="33"/>
      <c r="G191" s="33"/>
      <c r="H191" s="33"/>
      <c r="I191" s="33"/>
      <c r="J191" s="33"/>
      <c r="K191" s="33"/>
      <c r="L191" s="33"/>
      <c r="M191" s="33"/>
      <c r="N191" s="33"/>
    </row>
    <row r="192" spans="1:14" ht="12.75">
      <c r="A192" s="67"/>
      <c r="B192" s="51"/>
      <c r="C192" s="46"/>
      <c r="D192" s="46"/>
      <c r="E192" s="46"/>
      <c r="F192" s="33"/>
      <c r="G192" s="33"/>
      <c r="H192" s="33"/>
      <c r="I192" s="33"/>
      <c r="J192" s="33"/>
      <c r="K192" s="33"/>
      <c r="L192" s="33"/>
      <c r="M192" s="33"/>
      <c r="N192" s="33"/>
    </row>
    <row r="193" spans="1:14" ht="12.75">
      <c r="A193" s="67"/>
      <c r="B193" s="51"/>
      <c r="C193" s="46"/>
      <c r="D193" s="46"/>
      <c r="E193" s="46"/>
      <c r="F193" s="33"/>
      <c r="G193" s="33"/>
      <c r="H193" s="33"/>
      <c r="I193" s="33"/>
      <c r="J193" s="33"/>
      <c r="K193" s="33"/>
      <c r="L193" s="33"/>
      <c r="M193" s="33"/>
      <c r="N193" s="33"/>
    </row>
    <row r="194" spans="1:14" ht="12.75">
      <c r="A194" s="67"/>
      <c r="B194" s="51"/>
      <c r="C194" s="46"/>
      <c r="D194" s="46"/>
      <c r="E194" s="46"/>
      <c r="F194" s="33"/>
      <c r="G194" s="33"/>
      <c r="H194" s="33"/>
      <c r="I194" s="33"/>
      <c r="J194" s="33"/>
      <c r="K194" s="33"/>
      <c r="L194" s="33"/>
      <c r="M194" s="33"/>
      <c r="N194" s="33"/>
    </row>
    <row r="195" spans="1:14" ht="12.75">
      <c r="A195" s="67"/>
      <c r="B195" s="51"/>
      <c r="C195" s="46"/>
      <c r="D195" s="46"/>
      <c r="E195" s="46"/>
      <c r="F195" s="33"/>
      <c r="G195" s="33"/>
      <c r="H195" s="33"/>
      <c r="I195" s="33"/>
      <c r="J195" s="33"/>
      <c r="K195" s="33"/>
      <c r="L195" s="33"/>
      <c r="M195" s="33"/>
      <c r="N195" s="33"/>
    </row>
    <row r="196" spans="1:14" ht="12.75">
      <c r="A196" s="67"/>
      <c r="B196" s="51"/>
      <c r="C196" s="46"/>
      <c r="D196" s="46"/>
      <c r="E196" s="46"/>
      <c r="F196" s="33"/>
      <c r="G196" s="33"/>
      <c r="H196" s="33"/>
      <c r="I196" s="33"/>
      <c r="J196" s="33"/>
      <c r="K196" s="33"/>
      <c r="L196" s="33"/>
      <c r="M196" s="33"/>
      <c r="N196" s="33"/>
    </row>
    <row r="197" spans="1:14" ht="12.75">
      <c r="A197" s="67"/>
      <c r="B197" s="51"/>
      <c r="C197" s="46"/>
      <c r="D197" s="46"/>
      <c r="E197" s="46"/>
      <c r="F197" s="33"/>
      <c r="G197" s="33"/>
      <c r="H197" s="33"/>
      <c r="I197" s="33"/>
      <c r="J197" s="33"/>
      <c r="K197" s="33"/>
      <c r="L197" s="33"/>
      <c r="M197" s="33"/>
      <c r="N197" s="33"/>
    </row>
    <row r="198" spans="1:14" ht="12.75">
      <c r="A198" s="67"/>
      <c r="B198" s="51"/>
      <c r="C198" s="46"/>
      <c r="D198" s="46"/>
      <c r="E198" s="46"/>
      <c r="F198" s="33"/>
      <c r="G198" s="33"/>
      <c r="H198" s="33"/>
      <c r="I198" s="33"/>
      <c r="J198" s="33"/>
      <c r="K198" s="33"/>
      <c r="L198" s="33"/>
      <c r="M198" s="33"/>
      <c r="N198" s="33"/>
    </row>
    <row r="199" spans="1:14" ht="12.75">
      <c r="A199" s="67"/>
      <c r="B199" s="51"/>
      <c r="C199" s="46"/>
      <c r="D199" s="46"/>
      <c r="E199" s="46"/>
      <c r="F199" s="33"/>
      <c r="G199" s="33"/>
      <c r="H199" s="33"/>
      <c r="I199" s="33"/>
      <c r="J199" s="33"/>
      <c r="K199" s="33"/>
      <c r="L199" s="33"/>
      <c r="M199" s="33"/>
      <c r="N199" s="33"/>
    </row>
    <row r="200" spans="1:14" ht="12.75">
      <c r="A200" s="67"/>
      <c r="B200" s="51"/>
      <c r="C200" s="46"/>
      <c r="D200" s="46"/>
      <c r="E200" s="46"/>
      <c r="F200" s="33"/>
      <c r="G200" s="33"/>
      <c r="H200" s="33"/>
      <c r="I200" s="33"/>
      <c r="J200" s="33"/>
      <c r="K200" s="33"/>
      <c r="L200" s="33"/>
      <c r="M200" s="33"/>
      <c r="N200" s="33"/>
    </row>
    <row r="201" spans="1:14" ht="12.75">
      <c r="A201" s="67"/>
      <c r="B201" s="51"/>
      <c r="C201" s="46"/>
      <c r="D201" s="46"/>
      <c r="E201" s="46"/>
      <c r="F201" s="33"/>
      <c r="G201" s="33"/>
      <c r="H201" s="33"/>
      <c r="I201" s="33"/>
      <c r="J201" s="33"/>
      <c r="K201" s="33"/>
      <c r="L201" s="33"/>
      <c r="M201" s="33"/>
      <c r="N201" s="33"/>
    </row>
    <row r="202" spans="1:14" ht="12.75">
      <c r="A202" s="67"/>
      <c r="B202" s="51"/>
      <c r="C202" s="46"/>
      <c r="D202" s="46"/>
      <c r="E202" s="46"/>
      <c r="F202" s="33"/>
      <c r="G202" s="33"/>
      <c r="H202" s="33"/>
      <c r="I202" s="33"/>
      <c r="J202" s="33"/>
      <c r="K202" s="33"/>
      <c r="L202" s="33"/>
      <c r="M202" s="33"/>
      <c r="N202" s="33"/>
    </row>
    <row r="203" spans="1:14" ht="12.75">
      <c r="A203" s="67"/>
      <c r="B203" s="51"/>
      <c r="C203" s="46"/>
      <c r="D203" s="46"/>
      <c r="E203" s="46"/>
      <c r="F203" s="33"/>
      <c r="G203" s="33"/>
      <c r="H203" s="33"/>
      <c r="I203" s="33"/>
      <c r="J203" s="33"/>
      <c r="K203" s="33"/>
      <c r="L203" s="33"/>
      <c r="M203" s="33"/>
      <c r="N203" s="33"/>
    </row>
    <row r="204" spans="1:14" ht="12.75">
      <c r="A204" s="67"/>
      <c r="B204" s="51"/>
      <c r="C204" s="46"/>
      <c r="D204" s="46"/>
      <c r="E204" s="46"/>
      <c r="F204" s="33"/>
      <c r="G204" s="33"/>
      <c r="H204" s="33"/>
      <c r="I204" s="33"/>
      <c r="J204" s="33"/>
      <c r="K204" s="33"/>
      <c r="L204" s="33"/>
      <c r="M204" s="33"/>
      <c r="N204" s="33"/>
    </row>
    <row r="205" spans="1:14" ht="12.75">
      <c r="A205" s="67"/>
      <c r="B205" s="51"/>
      <c r="C205" s="46"/>
      <c r="D205" s="46"/>
      <c r="E205" s="46"/>
      <c r="F205" s="33"/>
      <c r="G205" s="33"/>
      <c r="H205" s="33"/>
      <c r="I205" s="33"/>
      <c r="J205" s="33"/>
      <c r="K205" s="33"/>
      <c r="L205" s="33"/>
      <c r="M205" s="33"/>
      <c r="N205" s="33"/>
    </row>
    <row r="206" spans="1:14" ht="12.75">
      <c r="A206" s="67"/>
      <c r="B206" s="51"/>
      <c r="C206" s="46"/>
      <c r="D206" s="46"/>
      <c r="E206" s="46"/>
      <c r="F206" s="33"/>
      <c r="G206" s="33"/>
      <c r="H206" s="33"/>
      <c r="I206" s="33"/>
      <c r="J206" s="33"/>
      <c r="K206" s="33"/>
      <c r="L206" s="33"/>
      <c r="M206" s="33"/>
      <c r="N206" s="33"/>
    </row>
    <row r="207" spans="1:14" ht="12.75">
      <c r="A207" s="67"/>
      <c r="B207" s="51"/>
      <c r="C207" s="46"/>
      <c r="D207" s="46"/>
      <c r="E207" s="46"/>
      <c r="F207" s="33"/>
      <c r="G207" s="33"/>
      <c r="H207" s="33"/>
      <c r="I207" s="33"/>
      <c r="J207" s="33"/>
      <c r="K207" s="33"/>
      <c r="L207" s="33"/>
      <c r="M207" s="33"/>
      <c r="N207" s="33"/>
    </row>
    <row r="208" spans="1:14" ht="12.75">
      <c r="A208" s="67"/>
      <c r="B208" s="51"/>
      <c r="C208" s="46"/>
      <c r="D208" s="46"/>
      <c r="E208" s="46"/>
      <c r="F208" s="33"/>
      <c r="G208" s="33"/>
      <c r="H208" s="33"/>
      <c r="I208" s="33"/>
      <c r="J208" s="33"/>
      <c r="K208" s="33"/>
      <c r="L208" s="33"/>
      <c r="M208" s="33"/>
      <c r="N208" s="33"/>
    </row>
    <row r="209" spans="1:14" ht="12.75">
      <c r="A209" s="67"/>
      <c r="B209" s="51"/>
      <c r="C209" s="46"/>
      <c r="D209" s="46"/>
      <c r="E209" s="46"/>
      <c r="F209" s="33"/>
      <c r="G209" s="33"/>
      <c r="H209" s="33"/>
      <c r="I209" s="33"/>
      <c r="J209" s="33"/>
      <c r="K209" s="33"/>
      <c r="L209" s="33"/>
      <c r="M209" s="33"/>
      <c r="N209" s="33"/>
    </row>
    <row r="210" spans="1:14" ht="12.75">
      <c r="A210" s="67"/>
      <c r="B210" s="51"/>
      <c r="C210" s="46"/>
      <c r="D210" s="46"/>
      <c r="E210" s="46"/>
      <c r="F210" s="33"/>
      <c r="G210" s="33"/>
      <c r="H210" s="33"/>
      <c r="I210" s="33"/>
      <c r="J210" s="33"/>
      <c r="K210" s="33"/>
      <c r="L210" s="33"/>
      <c r="M210" s="33"/>
      <c r="N210" s="33"/>
    </row>
    <row r="211" spans="1:14" ht="12.75">
      <c r="A211" s="67"/>
      <c r="B211" s="51"/>
      <c r="C211" s="46"/>
      <c r="D211" s="46"/>
      <c r="E211" s="46"/>
      <c r="F211" s="33"/>
      <c r="G211" s="33"/>
      <c r="H211" s="33"/>
      <c r="I211" s="33"/>
      <c r="J211" s="33"/>
      <c r="K211" s="33"/>
      <c r="L211" s="33"/>
      <c r="M211" s="33"/>
      <c r="N211" s="33"/>
    </row>
    <row r="212" spans="1:14" ht="12.75">
      <c r="A212" s="67"/>
      <c r="B212" s="51"/>
      <c r="C212" s="46"/>
      <c r="D212" s="46"/>
      <c r="E212" s="46"/>
      <c r="F212" s="33"/>
      <c r="G212" s="33"/>
      <c r="H212" s="33"/>
      <c r="I212" s="33"/>
      <c r="J212" s="33"/>
      <c r="K212" s="33"/>
      <c r="L212" s="33"/>
      <c r="M212" s="33"/>
      <c r="N212" s="33"/>
    </row>
    <row r="213" spans="1:14" ht="12.75">
      <c r="A213" s="67"/>
      <c r="B213" s="51"/>
      <c r="C213" s="46"/>
      <c r="D213" s="46"/>
      <c r="E213" s="46"/>
      <c r="F213" s="33"/>
      <c r="G213" s="33"/>
      <c r="H213" s="33"/>
      <c r="I213" s="33"/>
      <c r="J213" s="33"/>
      <c r="K213" s="33"/>
      <c r="L213" s="33"/>
      <c r="M213" s="33"/>
      <c r="N213" s="33"/>
    </row>
    <row r="214" spans="1:14" ht="12.75">
      <c r="A214" s="67"/>
      <c r="B214" s="51"/>
      <c r="C214" s="46"/>
      <c r="D214" s="46"/>
      <c r="E214" s="46"/>
      <c r="F214" s="33"/>
      <c r="G214" s="33"/>
      <c r="H214" s="33"/>
      <c r="I214" s="33"/>
      <c r="J214" s="33"/>
      <c r="K214" s="33"/>
      <c r="L214" s="33"/>
      <c r="M214" s="33"/>
      <c r="N214" s="33"/>
    </row>
    <row r="215" spans="1:14" ht="12.75">
      <c r="A215" s="67"/>
      <c r="B215" s="51"/>
      <c r="C215" s="46"/>
      <c r="D215" s="46"/>
      <c r="E215" s="46"/>
      <c r="F215" s="33"/>
      <c r="G215" s="33"/>
      <c r="H215" s="33"/>
      <c r="I215" s="33"/>
      <c r="J215" s="33"/>
      <c r="K215" s="33"/>
      <c r="L215" s="33"/>
      <c r="M215" s="33"/>
      <c r="N215" s="33"/>
    </row>
    <row r="216" spans="1:14" ht="12.75">
      <c r="A216" s="67"/>
      <c r="B216" s="51"/>
      <c r="C216" s="46"/>
      <c r="D216" s="46"/>
      <c r="E216" s="46"/>
      <c r="F216" s="33"/>
      <c r="G216" s="33"/>
      <c r="H216" s="33"/>
      <c r="I216" s="33"/>
      <c r="J216" s="33"/>
      <c r="K216" s="33"/>
      <c r="L216" s="33"/>
      <c r="M216" s="33"/>
      <c r="N216" s="33"/>
    </row>
    <row r="217" spans="1:14" ht="12.75">
      <c r="A217" s="67"/>
      <c r="B217" s="51"/>
      <c r="C217" s="46"/>
      <c r="D217" s="46"/>
      <c r="E217" s="46"/>
      <c r="F217" s="33"/>
      <c r="G217" s="33"/>
      <c r="H217" s="33"/>
      <c r="I217" s="33"/>
      <c r="J217" s="33"/>
      <c r="K217" s="33"/>
      <c r="L217" s="33"/>
      <c r="M217" s="33"/>
      <c r="N217" s="33"/>
    </row>
    <row r="218" spans="1:14" ht="12.75">
      <c r="A218" s="67"/>
      <c r="B218" s="51"/>
      <c r="C218" s="46"/>
      <c r="D218" s="46"/>
      <c r="E218" s="46"/>
      <c r="F218" s="33"/>
      <c r="G218" s="33"/>
      <c r="H218" s="33"/>
      <c r="I218" s="33"/>
      <c r="J218" s="33"/>
      <c r="K218" s="33"/>
      <c r="L218" s="33"/>
      <c r="M218" s="33"/>
      <c r="N218" s="33"/>
    </row>
    <row r="219" spans="1:14" ht="12.75">
      <c r="A219" s="67"/>
      <c r="B219" s="51"/>
      <c r="C219" s="46"/>
      <c r="D219" s="46"/>
      <c r="E219" s="46"/>
      <c r="F219" s="33"/>
      <c r="G219" s="33"/>
      <c r="H219" s="33"/>
      <c r="I219" s="33"/>
      <c r="J219" s="33"/>
      <c r="K219" s="33"/>
      <c r="L219" s="33"/>
      <c r="M219" s="33"/>
      <c r="N219" s="33"/>
    </row>
    <row r="220" spans="1:14" ht="12.75">
      <c r="A220" s="67"/>
      <c r="B220" s="51"/>
      <c r="C220" s="46"/>
      <c r="D220" s="46"/>
      <c r="E220" s="46"/>
      <c r="F220" s="33"/>
      <c r="G220" s="33"/>
      <c r="H220" s="33"/>
      <c r="I220" s="33"/>
      <c r="J220" s="33"/>
      <c r="K220" s="33"/>
      <c r="L220" s="33"/>
      <c r="M220" s="33"/>
      <c r="N220" s="33"/>
    </row>
    <row r="221" spans="1:14" ht="12.75">
      <c r="A221" s="67"/>
      <c r="B221" s="51"/>
      <c r="C221" s="46"/>
      <c r="D221" s="46"/>
      <c r="E221" s="46"/>
      <c r="F221" s="33"/>
      <c r="G221" s="33"/>
      <c r="H221" s="33"/>
      <c r="I221" s="33"/>
      <c r="J221" s="33"/>
      <c r="K221" s="33"/>
      <c r="L221" s="33"/>
      <c r="M221" s="33"/>
      <c r="N221" s="33"/>
    </row>
    <row r="222" spans="1:14" ht="12.75">
      <c r="A222" s="67"/>
      <c r="B222" s="51"/>
      <c r="C222" s="46"/>
      <c r="D222" s="46"/>
      <c r="E222" s="46"/>
      <c r="F222" s="33"/>
      <c r="G222" s="33"/>
      <c r="H222" s="33"/>
      <c r="I222" s="33"/>
      <c r="J222" s="33"/>
      <c r="K222" s="33"/>
      <c r="L222" s="33"/>
      <c r="M222" s="33"/>
      <c r="N222" s="33"/>
    </row>
    <row r="223" spans="1:14" ht="12.75">
      <c r="A223" s="67"/>
      <c r="B223" s="51"/>
      <c r="C223" s="46"/>
      <c r="D223" s="46"/>
      <c r="E223" s="46"/>
      <c r="F223" s="33"/>
      <c r="G223" s="33"/>
      <c r="H223" s="33"/>
      <c r="I223" s="33"/>
      <c r="J223" s="33"/>
      <c r="K223" s="33"/>
      <c r="L223" s="33"/>
      <c r="M223" s="33"/>
      <c r="N223" s="33"/>
    </row>
    <row r="224" spans="1:14" ht="12.75">
      <c r="A224" s="67"/>
      <c r="B224" s="51"/>
      <c r="C224" s="46"/>
      <c r="D224" s="46"/>
      <c r="E224" s="46"/>
      <c r="F224" s="33"/>
      <c r="G224" s="33"/>
      <c r="H224" s="33"/>
      <c r="I224" s="33"/>
      <c r="J224" s="33"/>
      <c r="K224" s="33"/>
      <c r="L224" s="33"/>
      <c r="M224" s="33"/>
      <c r="N224" s="33"/>
    </row>
    <row r="225" spans="1:14" ht="12.75">
      <c r="A225" s="67"/>
      <c r="B225" s="51"/>
      <c r="C225" s="46"/>
      <c r="D225" s="46"/>
      <c r="E225" s="46"/>
      <c r="F225" s="33"/>
      <c r="G225" s="33"/>
      <c r="H225" s="33"/>
      <c r="I225" s="33"/>
      <c r="J225" s="33"/>
      <c r="K225" s="33"/>
      <c r="L225" s="33"/>
      <c r="M225" s="33"/>
      <c r="N225" s="33"/>
    </row>
    <row r="226" spans="1:14" ht="12.75">
      <c r="A226" s="67"/>
      <c r="B226" s="51"/>
      <c r="C226" s="46"/>
      <c r="D226" s="46"/>
      <c r="E226" s="46"/>
      <c r="F226" s="33"/>
      <c r="G226" s="33"/>
      <c r="H226" s="33"/>
      <c r="I226" s="33"/>
      <c r="J226" s="33"/>
      <c r="K226" s="33"/>
      <c r="L226" s="33"/>
      <c r="M226" s="33"/>
      <c r="N226" s="33"/>
    </row>
    <row r="227" spans="1:14" ht="12.75">
      <c r="A227" s="67"/>
      <c r="B227" s="51"/>
      <c r="C227" s="46"/>
      <c r="D227" s="46"/>
      <c r="E227" s="46"/>
      <c r="F227" s="33"/>
      <c r="G227" s="33"/>
      <c r="H227" s="33"/>
      <c r="I227" s="33"/>
      <c r="J227" s="33"/>
      <c r="K227" s="33"/>
      <c r="L227" s="33"/>
      <c r="M227" s="33"/>
      <c r="N227" s="33"/>
    </row>
    <row r="228" spans="1:14" ht="12.75">
      <c r="A228" s="67"/>
      <c r="B228" s="51"/>
      <c r="C228" s="46"/>
      <c r="D228" s="46"/>
      <c r="E228" s="46"/>
      <c r="F228" s="33"/>
      <c r="G228" s="33"/>
      <c r="H228" s="33"/>
      <c r="I228" s="33"/>
      <c r="J228" s="33"/>
      <c r="K228" s="33"/>
      <c r="L228" s="33"/>
      <c r="M228" s="33"/>
      <c r="N228" s="33"/>
    </row>
    <row r="229" spans="1:14" ht="12.75">
      <c r="A229" s="67"/>
      <c r="B229" s="51"/>
      <c r="C229" s="46"/>
      <c r="D229" s="46"/>
      <c r="E229" s="46"/>
      <c r="F229" s="33"/>
      <c r="G229" s="33"/>
      <c r="H229" s="33"/>
      <c r="I229" s="33"/>
      <c r="J229" s="33"/>
      <c r="K229" s="33"/>
      <c r="L229" s="33"/>
      <c r="M229" s="33"/>
      <c r="N229" s="33"/>
    </row>
    <row r="230" spans="1:14" ht="12.75">
      <c r="A230" s="67"/>
      <c r="B230" s="51"/>
      <c r="C230" s="46"/>
      <c r="D230" s="46"/>
      <c r="E230" s="46"/>
      <c r="F230" s="33"/>
      <c r="G230" s="33"/>
      <c r="H230" s="33"/>
      <c r="I230" s="33"/>
      <c r="J230" s="33"/>
      <c r="K230" s="33"/>
      <c r="L230" s="33"/>
      <c r="M230" s="33"/>
      <c r="N230" s="33"/>
    </row>
    <row r="231" spans="1:14" ht="12.75">
      <c r="A231" s="67"/>
      <c r="B231" s="51"/>
      <c r="C231" s="46"/>
      <c r="D231" s="46"/>
      <c r="E231" s="46"/>
      <c r="F231" s="33"/>
      <c r="G231" s="33"/>
      <c r="H231" s="33"/>
      <c r="I231" s="33"/>
      <c r="J231" s="33"/>
      <c r="K231" s="33"/>
      <c r="L231" s="33"/>
      <c r="M231" s="33"/>
      <c r="N231" s="33"/>
    </row>
    <row r="232" spans="1:14" ht="12.75">
      <c r="A232" s="67"/>
      <c r="B232" s="51"/>
      <c r="C232" s="46"/>
      <c r="D232" s="46"/>
      <c r="E232" s="46"/>
      <c r="F232" s="33"/>
      <c r="G232" s="33"/>
      <c r="H232" s="33"/>
      <c r="I232" s="33"/>
      <c r="J232" s="33"/>
      <c r="K232" s="33"/>
      <c r="L232" s="33"/>
      <c r="M232" s="33"/>
      <c r="N232" s="33"/>
    </row>
    <row r="233" spans="1:14" ht="12.75">
      <c r="A233" s="67"/>
      <c r="B233" s="51"/>
      <c r="C233" s="46"/>
      <c r="D233" s="46"/>
      <c r="E233" s="46"/>
      <c r="F233" s="33"/>
      <c r="G233" s="33"/>
      <c r="H233" s="33"/>
      <c r="I233" s="33"/>
      <c r="J233" s="33"/>
      <c r="K233" s="33"/>
      <c r="L233" s="33"/>
      <c r="M233" s="33"/>
      <c r="N233" s="33"/>
    </row>
    <row r="234" spans="1:14" ht="12.75">
      <c r="A234" s="67"/>
      <c r="B234" s="51"/>
      <c r="C234" s="46"/>
      <c r="D234" s="46"/>
      <c r="E234" s="46"/>
      <c r="F234" s="33"/>
      <c r="G234" s="33"/>
      <c r="H234" s="33"/>
      <c r="I234" s="33"/>
      <c r="J234" s="33"/>
      <c r="K234" s="33"/>
      <c r="L234" s="33"/>
      <c r="M234" s="33"/>
      <c r="N234" s="33"/>
    </row>
    <row r="235" spans="1:14" ht="12.75">
      <c r="A235" s="67"/>
      <c r="B235" s="51"/>
      <c r="C235" s="46"/>
      <c r="D235" s="46"/>
      <c r="E235" s="46"/>
      <c r="F235" s="33"/>
      <c r="G235" s="33"/>
      <c r="H235" s="33"/>
      <c r="I235" s="33"/>
      <c r="J235" s="33"/>
      <c r="K235" s="33"/>
      <c r="L235" s="33"/>
      <c r="M235" s="33"/>
      <c r="N235" s="33"/>
    </row>
    <row r="236" spans="1:14" ht="12.75">
      <c r="A236" s="67"/>
      <c r="B236" s="51"/>
      <c r="C236" s="46"/>
      <c r="D236" s="46"/>
      <c r="E236" s="46"/>
      <c r="F236" s="33"/>
      <c r="G236" s="33"/>
      <c r="H236" s="33"/>
      <c r="I236" s="33"/>
      <c r="J236" s="33"/>
      <c r="K236" s="33"/>
      <c r="L236" s="33"/>
      <c r="M236" s="33"/>
      <c r="N236" s="33"/>
    </row>
    <row r="237" spans="1:14" ht="12.75">
      <c r="A237" s="67"/>
      <c r="B237" s="51"/>
      <c r="C237" s="46"/>
      <c r="D237" s="46"/>
      <c r="E237" s="46"/>
      <c r="F237" s="33"/>
      <c r="G237" s="33"/>
      <c r="H237" s="33"/>
      <c r="I237" s="33"/>
      <c r="J237" s="33"/>
      <c r="K237" s="33"/>
      <c r="L237" s="33"/>
      <c r="M237" s="33"/>
      <c r="N237" s="33"/>
    </row>
    <row r="238" spans="1:14" ht="12.75">
      <c r="A238" s="67"/>
      <c r="B238" s="51"/>
      <c r="C238" s="46"/>
      <c r="D238" s="46"/>
      <c r="E238" s="46"/>
      <c r="F238" s="33"/>
      <c r="G238" s="33"/>
      <c r="H238" s="33"/>
      <c r="I238" s="33"/>
      <c r="J238" s="33"/>
      <c r="K238" s="33"/>
      <c r="L238" s="33"/>
      <c r="M238" s="33"/>
      <c r="N238" s="33"/>
    </row>
    <row r="239" spans="1:14" ht="12.75">
      <c r="A239" s="67"/>
      <c r="B239" s="51"/>
      <c r="C239" s="46"/>
      <c r="D239" s="46"/>
      <c r="E239" s="46"/>
      <c r="F239" s="33"/>
      <c r="G239" s="33"/>
      <c r="H239" s="33"/>
      <c r="I239" s="33"/>
      <c r="J239" s="33"/>
      <c r="K239" s="33"/>
      <c r="L239" s="33"/>
      <c r="M239" s="33"/>
      <c r="N239" s="33"/>
    </row>
    <row r="240" spans="1:14" ht="12.75">
      <c r="A240" s="67"/>
      <c r="B240" s="51"/>
      <c r="C240" s="46"/>
      <c r="D240" s="46"/>
      <c r="E240" s="46"/>
      <c r="F240" s="33"/>
      <c r="G240" s="33"/>
      <c r="H240" s="33"/>
      <c r="I240" s="33"/>
      <c r="J240" s="33"/>
      <c r="K240" s="33"/>
      <c r="L240" s="33"/>
      <c r="M240" s="33"/>
      <c r="N240" s="33"/>
    </row>
    <row r="241" spans="1:14" ht="12.75">
      <c r="A241" s="67"/>
      <c r="B241" s="51"/>
      <c r="C241" s="46"/>
      <c r="D241" s="46"/>
      <c r="E241" s="46"/>
      <c r="F241" s="33"/>
      <c r="G241" s="33"/>
      <c r="H241" s="33"/>
      <c r="I241" s="33"/>
      <c r="J241" s="33"/>
      <c r="K241" s="33"/>
      <c r="L241" s="33"/>
      <c r="M241" s="33"/>
      <c r="N241" s="33"/>
    </row>
    <row r="242" spans="1:14" ht="12.75">
      <c r="A242" s="67"/>
      <c r="B242" s="51"/>
      <c r="C242" s="46"/>
      <c r="D242" s="46"/>
      <c r="E242" s="46"/>
      <c r="F242" s="33"/>
      <c r="G242" s="33"/>
      <c r="H242" s="33"/>
      <c r="I242" s="33"/>
      <c r="J242" s="33"/>
      <c r="K242" s="33"/>
      <c r="L242" s="33"/>
      <c r="M242" s="33"/>
      <c r="N242" s="33"/>
    </row>
    <row r="243" spans="1:14" ht="12.75">
      <c r="A243" s="67"/>
      <c r="B243" s="51"/>
      <c r="C243" s="46"/>
      <c r="D243" s="46"/>
      <c r="E243" s="46"/>
      <c r="F243" s="33"/>
      <c r="G243" s="33"/>
      <c r="H243" s="33"/>
      <c r="I243" s="33"/>
      <c r="J243" s="33"/>
      <c r="K243" s="33"/>
      <c r="L243" s="33"/>
      <c r="M243" s="33"/>
      <c r="N243" s="33"/>
    </row>
    <row r="244" spans="1:14" ht="12.75">
      <c r="A244" s="67"/>
      <c r="B244" s="51"/>
      <c r="C244" s="46"/>
      <c r="D244" s="46"/>
      <c r="E244" s="46"/>
      <c r="F244" s="33"/>
      <c r="G244" s="33"/>
      <c r="H244" s="33"/>
      <c r="I244" s="33"/>
      <c r="J244" s="33"/>
      <c r="K244" s="33"/>
      <c r="L244" s="33"/>
      <c r="M244" s="33"/>
      <c r="N244" s="33"/>
    </row>
    <row r="245" spans="1:14" ht="12.75">
      <c r="A245" s="67"/>
      <c r="B245" s="51"/>
      <c r="C245" s="46"/>
      <c r="D245" s="46"/>
      <c r="E245" s="46"/>
      <c r="F245" s="33"/>
      <c r="G245" s="33"/>
      <c r="H245" s="33"/>
      <c r="I245" s="33"/>
      <c r="J245" s="33"/>
      <c r="K245" s="33"/>
      <c r="L245" s="33"/>
      <c r="M245" s="33"/>
      <c r="N245" s="33"/>
    </row>
    <row r="246" spans="1:14" ht="12.75">
      <c r="A246" s="67"/>
      <c r="B246" s="51"/>
      <c r="C246" s="46"/>
      <c r="D246" s="46"/>
      <c r="E246" s="46"/>
      <c r="F246" s="33"/>
      <c r="G246" s="33"/>
      <c r="H246" s="33"/>
      <c r="I246" s="33"/>
      <c r="J246" s="33"/>
      <c r="K246" s="33"/>
      <c r="L246" s="33"/>
      <c r="M246" s="33"/>
      <c r="N246" s="33"/>
    </row>
    <row r="247" spans="1:14" ht="12.75">
      <c r="A247" s="67"/>
      <c r="B247" s="51"/>
      <c r="C247" s="46"/>
      <c r="D247" s="46"/>
      <c r="E247" s="46"/>
      <c r="F247" s="33"/>
      <c r="G247" s="33"/>
      <c r="H247" s="33"/>
      <c r="I247" s="33"/>
      <c r="J247" s="33"/>
      <c r="K247" s="33"/>
      <c r="L247" s="33"/>
      <c r="M247" s="33"/>
      <c r="N247" s="33"/>
    </row>
    <row r="248" spans="1:14" ht="12.75">
      <c r="A248" s="67"/>
      <c r="B248" s="51"/>
      <c r="C248" s="46"/>
      <c r="D248" s="46"/>
      <c r="E248" s="46"/>
      <c r="F248" s="33"/>
      <c r="G248" s="33"/>
      <c r="H248" s="33"/>
      <c r="I248" s="33"/>
      <c r="J248" s="33"/>
      <c r="K248" s="33"/>
      <c r="L248" s="33"/>
      <c r="M248" s="33"/>
      <c r="N248" s="33"/>
    </row>
    <row r="249" spans="1:14" ht="12.75">
      <c r="A249" s="67"/>
      <c r="B249" s="51"/>
      <c r="C249" s="46"/>
      <c r="D249" s="46"/>
      <c r="E249" s="46"/>
      <c r="F249" s="33"/>
      <c r="G249" s="33"/>
      <c r="H249" s="33"/>
      <c r="I249" s="33"/>
      <c r="J249" s="33"/>
      <c r="K249" s="33"/>
      <c r="L249" s="33"/>
      <c r="M249" s="33"/>
      <c r="N249" s="33"/>
    </row>
    <row r="250" spans="1:14" ht="12.75">
      <c r="A250" s="67"/>
      <c r="B250" s="51"/>
      <c r="C250" s="46"/>
      <c r="D250" s="46"/>
      <c r="E250" s="46"/>
      <c r="F250" s="33"/>
      <c r="G250" s="33"/>
      <c r="H250" s="33"/>
      <c r="I250" s="33"/>
      <c r="J250" s="33"/>
      <c r="K250" s="33"/>
      <c r="L250" s="33"/>
      <c r="M250" s="33"/>
      <c r="N250" s="33"/>
    </row>
    <row r="251" spans="1:14" ht="12.75">
      <c r="A251" s="67"/>
      <c r="B251" s="51"/>
      <c r="C251" s="46"/>
      <c r="D251" s="46"/>
      <c r="E251" s="46"/>
      <c r="F251" s="33"/>
      <c r="G251" s="33"/>
      <c r="H251" s="33"/>
      <c r="I251" s="33"/>
      <c r="J251" s="33"/>
      <c r="K251" s="33"/>
      <c r="L251" s="33"/>
      <c r="M251" s="33"/>
      <c r="N251" s="33"/>
    </row>
    <row r="252" spans="1:14" ht="12.75">
      <c r="A252" s="67"/>
      <c r="B252" s="51"/>
      <c r="C252" s="46"/>
      <c r="D252" s="46"/>
      <c r="E252" s="46"/>
      <c r="F252" s="33"/>
      <c r="G252" s="33"/>
      <c r="H252" s="33"/>
      <c r="I252" s="33"/>
      <c r="J252" s="33"/>
      <c r="K252" s="33"/>
      <c r="L252" s="33"/>
      <c r="M252" s="33"/>
      <c r="N252" s="33"/>
    </row>
    <row r="253" spans="1:14" ht="12.75">
      <c r="A253" s="67"/>
      <c r="B253" s="51"/>
      <c r="C253" s="46"/>
      <c r="D253" s="46"/>
      <c r="E253" s="46"/>
      <c r="F253" s="33"/>
      <c r="G253" s="33"/>
      <c r="H253" s="33"/>
      <c r="I253" s="33"/>
      <c r="J253" s="33"/>
      <c r="K253" s="33"/>
      <c r="L253" s="33"/>
      <c r="M253" s="33"/>
      <c r="N253" s="33"/>
    </row>
    <row r="254" spans="1:14" ht="12.75">
      <c r="A254" s="67"/>
      <c r="B254" s="51"/>
      <c r="C254" s="46"/>
      <c r="D254" s="46"/>
      <c r="E254" s="46"/>
      <c r="F254" s="33"/>
      <c r="G254" s="33"/>
      <c r="H254" s="33"/>
      <c r="I254" s="33"/>
      <c r="J254" s="33"/>
      <c r="K254" s="33"/>
      <c r="L254" s="33"/>
      <c r="M254" s="33"/>
      <c r="N254" s="33"/>
    </row>
    <row r="255" spans="1:14" ht="12.75">
      <c r="A255" s="67"/>
      <c r="B255" s="51"/>
      <c r="C255" s="46"/>
      <c r="D255" s="46"/>
      <c r="E255" s="46"/>
      <c r="F255" s="33"/>
      <c r="G255" s="33"/>
      <c r="H255" s="33"/>
      <c r="I255" s="33"/>
      <c r="J255" s="33"/>
      <c r="K255" s="33"/>
      <c r="L255" s="33"/>
      <c r="M255" s="33"/>
      <c r="N255" s="33"/>
    </row>
    <row r="256" spans="1:14" ht="12.75">
      <c r="A256" s="67"/>
      <c r="B256" s="51"/>
      <c r="C256" s="46"/>
      <c r="D256" s="46"/>
      <c r="E256" s="46"/>
      <c r="F256" s="33"/>
      <c r="G256" s="33"/>
      <c r="H256" s="33"/>
      <c r="I256" s="33"/>
      <c r="J256" s="33"/>
      <c r="K256" s="33"/>
      <c r="L256" s="33"/>
      <c r="M256" s="33"/>
      <c r="N256" s="33"/>
    </row>
    <row r="257" spans="1:14" ht="12.75">
      <c r="A257" s="67"/>
      <c r="B257" s="51"/>
      <c r="C257" s="46"/>
      <c r="D257" s="46"/>
      <c r="E257" s="46"/>
      <c r="F257" s="33"/>
      <c r="G257" s="33"/>
      <c r="H257" s="33"/>
      <c r="I257" s="33"/>
      <c r="J257" s="33"/>
      <c r="K257" s="33"/>
      <c r="L257" s="33"/>
      <c r="M257" s="33"/>
      <c r="N257" s="33"/>
    </row>
    <row r="258" spans="1:14" ht="12.75">
      <c r="A258" s="67"/>
      <c r="B258" s="51"/>
      <c r="C258" s="46"/>
      <c r="D258" s="46"/>
      <c r="E258" s="46"/>
      <c r="F258" s="33"/>
      <c r="G258" s="33"/>
      <c r="H258" s="33"/>
      <c r="I258" s="33"/>
      <c r="J258" s="33"/>
      <c r="K258" s="33"/>
      <c r="L258" s="33"/>
      <c r="M258" s="33"/>
      <c r="N258" s="33"/>
    </row>
    <row r="259" spans="1:14" ht="12.75">
      <c r="A259" s="67"/>
      <c r="B259" s="51"/>
      <c r="C259" s="46"/>
      <c r="D259" s="46"/>
      <c r="E259" s="46"/>
      <c r="F259" s="33"/>
      <c r="G259" s="33"/>
      <c r="H259" s="33"/>
      <c r="I259" s="33"/>
      <c r="J259" s="33"/>
      <c r="K259" s="33"/>
      <c r="L259" s="33"/>
      <c r="M259" s="33"/>
      <c r="N259" s="33"/>
    </row>
    <row r="260" spans="1:14" ht="12.75">
      <c r="A260" s="67"/>
      <c r="B260" s="51"/>
      <c r="C260" s="46"/>
      <c r="D260" s="46"/>
      <c r="E260" s="46"/>
      <c r="F260" s="33"/>
      <c r="G260" s="33"/>
      <c r="H260" s="33"/>
      <c r="I260" s="33"/>
      <c r="J260" s="33"/>
      <c r="K260" s="33"/>
      <c r="L260" s="33"/>
      <c r="M260" s="33"/>
      <c r="N260" s="33"/>
    </row>
    <row r="261" spans="1:14" ht="12.75">
      <c r="A261" s="67"/>
      <c r="B261" s="51"/>
      <c r="C261" s="46"/>
      <c r="D261" s="46"/>
      <c r="E261" s="46"/>
      <c r="F261" s="33"/>
      <c r="G261" s="33"/>
      <c r="H261" s="33"/>
      <c r="I261" s="33"/>
      <c r="J261" s="33"/>
      <c r="K261" s="33"/>
      <c r="L261" s="33"/>
      <c r="M261" s="33"/>
      <c r="N261" s="33"/>
    </row>
    <row r="262" spans="1:14" ht="12.75">
      <c r="A262" s="67"/>
      <c r="B262" s="51"/>
      <c r="C262" s="46"/>
      <c r="D262" s="46"/>
      <c r="E262" s="46"/>
      <c r="F262" s="33"/>
      <c r="G262" s="33"/>
      <c r="H262" s="33"/>
      <c r="I262" s="33"/>
      <c r="J262" s="33"/>
      <c r="K262" s="33"/>
      <c r="L262" s="33"/>
      <c r="M262" s="33"/>
      <c r="N262" s="33"/>
    </row>
    <row r="263" spans="1:14" ht="12.75">
      <c r="A263" s="67"/>
      <c r="B263" s="51"/>
      <c r="C263" s="46"/>
      <c r="D263" s="46"/>
      <c r="E263" s="46"/>
      <c r="F263" s="33"/>
      <c r="G263" s="33"/>
      <c r="H263" s="33"/>
      <c r="I263" s="33"/>
      <c r="J263" s="33"/>
      <c r="K263" s="33"/>
      <c r="L263" s="33"/>
      <c r="M263" s="33"/>
      <c r="N263" s="33"/>
    </row>
    <row r="264" spans="1:14" ht="12.75">
      <c r="A264" s="67"/>
      <c r="B264" s="51"/>
      <c r="C264" s="46"/>
      <c r="D264" s="46"/>
      <c r="E264" s="46"/>
      <c r="F264" s="33"/>
      <c r="G264" s="33"/>
      <c r="H264" s="33"/>
      <c r="I264" s="33"/>
      <c r="J264" s="33"/>
      <c r="K264" s="33"/>
      <c r="L264" s="33"/>
      <c r="M264" s="33"/>
      <c r="N264" s="33"/>
    </row>
    <row r="265" spans="1:14" ht="12.75">
      <c r="A265" s="67"/>
      <c r="B265" s="51"/>
      <c r="C265" s="46"/>
      <c r="D265" s="46"/>
      <c r="E265" s="46"/>
      <c r="F265" s="33"/>
      <c r="G265" s="33"/>
      <c r="H265" s="33"/>
      <c r="I265" s="33"/>
      <c r="J265" s="33"/>
      <c r="K265" s="33"/>
      <c r="L265" s="33"/>
      <c r="M265" s="33"/>
      <c r="N265" s="33"/>
    </row>
    <row r="266" spans="1:14" ht="12.75">
      <c r="A266" s="67"/>
      <c r="B266" s="51"/>
      <c r="C266" s="46"/>
      <c r="D266" s="46"/>
      <c r="E266" s="46"/>
      <c r="F266" s="33"/>
      <c r="G266" s="33"/>
      <c r="H266" s="33"/>
      <c r="I266" s="33"/>
      <c r="J266" s="33"/>
      <c r="K266" s="33"/>
      <c r="L266" s="33"/>
      <c r="M266" s="33"/>
      <c r="N266" s="33"/>
    </row>
    <row r="267" spans="1:14" ht="12.75">
      <c r="A267" s="67"/>
      <c r="B267" s="51"/>
      <c r="C267" s="46"/>
      <c r="D267" s="46"/>
      <c r="E267" s="46"/>
      <c r="F267" s="33"/>
      <c r="G267" s="33"/>
      <c r="H267" s="33"/>
      <c r="I267" s="33"/>
      <c r="J267" s="33"/>
      <c r="K267" s="33"/>
      <c r="L267" s="33"/>
      <c r="M267" s="33"/>
      <c r="N267" s="33"/>
    </row>
    <row r="268" spans="1:14" ht="12.75">
      <c r="A268" s="67"/>
      <c r="B268" s="51"/>
      <c r="C268" s="46"/>
      <c r="D268" s="46"/>
      <c r="E268" s="46"/>
      <c r="F268" s="33"/>
      <c r="G268" s="33"/>
      <c r="H268" s="33"/>
      <c r="I268" s="33"/>
      <c r="J268" s="33"/>
      <c r="K268" s="33"/>
      <c r="L268" s="33"/>
      <c r="M268" s="33"/>
      <c r="N268" s="33"/>
    </row>
    <row r="269" spans="1:14" ht="12.75">
      <c r="A269" s="67"/>
      <c r="B269" s="51"/>
      <c r="C269" s="46"/>
      <c r="D269" s="46"/>
      <c r="E269" s="46"/>
      <c r="F269" s="33"/>
      <c r="G269" s="33"/>
      <c r="H269" s="33"/>
      <c r="I269" s="33"/>
      <c r="J269" s="33"/>
      <c r="K269" s="33"/>
      <c r="L269" s="33"/>
      <c r="M269" s="33"/>
      <c r="N269" s="33"/>
    </row>
    <row r="270" spans="1:14" ht="12.75">
      <c r="A270" s="67"/>
      <c r="B270" s="51"/>
      <c r="C270" s="46"/>
      <c r="D270" s="46"/>
      <c r="E270" s="46"/>
      <c r="F270" s="33"/>
      <c r="G270" s="33"/>
      <c r="H270" s="33"/>
      <c r="I270" s="33"/>
      <c r="J270" s="33"/>
      <c r="K270" s="33"/>
      <c r="L270" s="33"/>
      <c r="M270" s="33"/>
      <c r="N270" s="33"/>
    </row>
    <row r="271" spans="1:14" ht="12.75">
      <c r="A271" s="67"/>
      <c r="B271" s="51"/>
      <c r="C271" s="46"/>
      <c r="D271" s="46"/>
      <c r="E271" s="46"/>
      <c r="F271" s="33"/>
      <c r="G271" s="33"/>
      <c r="H271" s="33"/>
      <c r="I271" s="33"/>
      <c r="J271" s="33"/>
      <c r="K271" s="33"/>
      <c r="L271" s="33"/>
      <c r="M271" s="33"/>
      <c r="N271" s="33"/>
    </row>
    <row r="272" spans="1:14" ht="12.75">
      <c r="A272" s="67"/>
      <c r="B272" s="51"/>
      <c r="C272" s="46"/>
      <c r="D272" s="46"/>
      <c r="E272" s="46"/>
      <c r="F272" s="33"/>
      <c r="G272" s="33"/>
      <c r="H272" s="33"/>
      <c r="I272" s="33"/>
      <c r="J272" s="33"/>
      <c r="K272" s="33"/>
      <c r="L272" s="33"/>
      <c r="M272" s="33"/>
      <c r="N272" s="33"/>
    </row>
    <row r="273" spans="1:14" ht="12.75">
      <c r="A273" s="67"/>
      <c r="B273" s="51"/>
      <c r="C273" s="46"/>
      <c r="D273" s="46"/>
      <c r="E273" s="46"/>
      <c r="F273" s="33"/>
      <c r="G273" s="33"/>
      <c r="H273" s="33"/>
      <c r="I273" s="33"/>
      <c r="J273" s="33"/>
      <c r="K273" s="33"/>
      <c r="L273" s="33"/>
      <c r="M273" s="33"/>
      <c r="N273" s="33"/>
    </row>
    <row r="274" spans="1:14" ht="12.75">
      <c r="A274" s="67"/>
      <c r="B274" s="51"/>
      <c r="C274" s="46"/>
      <c r="D274" s="46"/>
      <c r="E274" s="46"/>
      <c r="F274" s="33"/>
      <c r="G274" s="33"/>
      <c r="H274" s="33"/>
      <c r="I274" s="33"/>
      <c r="J274" s="33"/>
      <c r="K274" s="33"/>
      <c r="L274" s="33"/>
      <c r="M274" s="33"/>
      <c r="N274" s="33"/>
    </row>
    <row r="275" spans="1:14" ht="12.75">
      <c r="A275" s="67"/>
      <c r="B275" s="51"/>
      <c r="C275" s="46"/>
      <c r="D275" s="46"/>
      <c r="E275" s="46"/>
      <c r="F275" s="33"/>
      <c r="G275" s="33"/>
      <c r="H275" s="33"/>
      <c r="I275" s="33"/>
      <c r="J275" s="33"/>
      <c r="K275" s="33"/>
      <c r="L275" s="33"/>
      <c r="M275" s="33"/>
      <c r="N275" s="33"/>
    </row>
    <row r="276" spans="1:14" ht="12.75">
      <c r="A276" s="67"/>
      <c r="B276" s="51"/>
      <c r="C276" s="46"/>
      <c r="D276" s="46"/>
      <c r="E276" s="46"/>
      <c r="F276" s="33"/>
      <c r="G276" s="33"/>
      <c r="H276" s="33"/>
      <c r="I276" s="33"/>
      <c r="J276" s="33"/>
      <c r="K276" s="33"/>
      <c r="L276" s="33"/>
      <c r="M276" s="33"/>
      <c r="N276" s="33"/>
    </row>
    <row r="277" spans="1:14" ht="12.75">
      <c r="A277" s="67"/>
      <c r="B277" s="51"/>
      <c r="C277" s="46"/>
      <c r="D277" s="46"/>
      <c r="E277" s="46"/>
      <c r="F277" s="33"/>
      <c r="G277" s="33"/>
      <c r="H277" s="33"/>
      <c r="I277" s="33"/>
      <c r="J277" s="33"/>
      <c r="K277" s="33"/>
      <c r="L277" s="33"/>
      <c r="M277" s="33"/>
      <c r="N277" s="33"/>
    </row>
    <row r="278" spans="1:14" ht="12.75">
      <c r="A278" s="67"/>
      <c r="B278" s="51"/>
      <c r="C278" s="46"/>
      <c r="D278" s="46"/>
      <c r="E278" s="46"/>
      <c r="F278" s="33"/>
      <c r="G278" s="33"/>
      <c r="H278" s="33"/>
      <c r="I278" s="33"/>
      <c r="J278" s="33"/>
      <c r="K278" s="33"/>
      <c r="L278" s="33"/>
      <c r="M278" s="33"/>
      <c r="N278" s="33"/>
    </row>
    <row r="279" spans="1:14" ht="12.75">
      <c r="A279" s="67"/>
      <c r="B279" s="51"/>
      <c r="C279" s="46"/>
      <c r="D279" s="46"/>
      <c r="E279" s="46"/>
      <c r="F279" s="33"/>
      <c r="G279" s="33"/>
      <c r="H279" s="33"/>
      <c r="I279" s="33"/>
      <c r="J279" s="33"/>
      <c r="K279" s="33"/>
      <c r="L279" s="33"/>
      <c r="M279" s="33"/>
      <c r="N279" s="33"/>
    </row>
    <row r="280" spans="1:14" ht="12.75">
      <c r="A280" s="67"/>
      <c r="B280" s="51"/>
      <c r="C280" s="46"/>
      <c r="D280" s="46"/>
      <c r="E280" s="46"/>
      <c r="F280" s="33"/>
      <c r="G280" s="33"/>
      <c r="H280" s="33"/>
      <c r="I280" s="33"/>
      <c r="J280" s="33"/>
      <c r="K280" s="33"/>
      <c r="L280" s="33"/>
      <c r="M280" s="33"/>
      <c r="N280" s="33"/>
    </row>
    <row r="281" spans="1:14" ht="12.75">
      <c r="A281" s="67"/>
      <c r="B281" s="51"/>
      <c r="C281" s="46"/>
      <c r="D281" s="46"/>
      <c r="E281" s="46"/>
      <c r="F281" s="33"/>
      <c r="G281" s="33"/>
      <c r="H281" s="33"/>
      <c r="I281" s="33"/>
      <c r="J281" s="33"/>
      <c r="K281" s="33"/>
      <c r="L281" s="33"/>
      <c r="M281" s="33"/>
      <c r="N281" s="33"/>
    </row>
    <row r="282" spans="1:14" ht="12.75">
      <c r="A282" s="67"/>
      <c r="B282" s="51"/>
      <c r="C282" s="46"/>
      <c r="D282" s="46"/>
      <c r="E282" s="46"/>
      <c r="F282" s="33"/>
      <c r="G282" s="33"/>
      <c r="H282" s="33"/>
      <c r="I282" s="33"/>
      <c r="J282" s="33"/>
      <c r="K282" s="33"/>
      <c r="L282" s="33"/>
      <c r="M282" s="33"/>
      <c r="N282" s="33"/>
    </row>
    <row r="283" spans="1:14" ht="12.75">
      <c r="A283" s="67"/>
      <c r="B283" s="51"/>
      <c r="C283" s="46"/>
      <c r="D283" s="46"/>
      <c r="E283" s="46"/>
      <c r="F283" s="33"/>
      <c r="G283" s="33"/>
      <c r="H283" s="33"/>
      <c r="I283" s="33"/>
      <c r="J283" s="33"/>
      <c r="K283" s="33"/>
      <c r="L283" s="33"/>
      <c r="M283" s="33"/>
      <c r="N283" s="33"/>
    </row>
    <row r="284" spans="1:14" ht="12.75">
      <c r="A284" s="67"/>
      <c r="B284" s="51"/>
      <c r="C284" s="46"/>
      <c r="D284" s="46"/>
      <c r="E284" s="46"/>
      <c r="F284" s="33"/>
      <c r="G284" s="33"/>
      <c r="H284" s="33"/>
      <c r="I284" s="33"/>
      <c r="J284" s="33"/>
      <c r="K284" s="33"/>
      <c r="L284" s="33"/>
      <c r="M284" s="33"/>
      <c r="N284" s="33"/>
    </row>
    <row r="285" spans="1:14" ht="12.75">
      <c r="A285" s="67"/>
      <c r="B285" s="51"/>
      <c r="C285" s="46"/>
      <c r="D285" s="46"/>
      <c r="E285" s="46"/>
      <c r="F285" s="33"/>
      <c r="G285" s="33"/>
      <c r="H285" s="33"/>
      <c r="I285" s="33"/>
      <c r="J285" s="33"/>
      <c r="K285" s="33"/>
      <c r="L285" s="33"/>
      <c r="M285" s="33"/>
      <c r="N285" s="33"/>
    </row>
    <row r="286" spans="1:14" ht="12.75">
      <c r="A286" s="67"/>
      <c r="B286" s="51"/>
      <c r="C286" s="46"/>
      <c r="D286" s="46"/>
      <c r="E286" s="46"/>
      <c r="F286" s="33"/>
      <c r="G286" s="33"/>
      <c r="H286" s="33"/>
      <c r="I286" s="33"/>
      <c r="J286" s="33"/>
      <c r="K286" s="33"/>
      <c r="L286" s="33"/>
      <c r="M286" s="33"/>
      <c r="N286" s="33"/>
    </row>
    <row r="287" spans="1:14" ht="12.75">
      <c r="A287" s="67"/>
      <c r="B287" s="51"/>
      <c r="C287" s="46"/>
      <c r="D287" s="46"/>
      <c r="E287" s="46"/>
      <c r="F287" s="33"/>
      <c r="G287" s="33"/>
      <c r="H287" s="33"/>
      <c r="I287" s="33"/>
      <c r="J287" s="33"/>
      <c r="K287" s="33"/>
      <c r="L287" s="33"/>
      <c r="M287" s="33"/>
      <c r="N287" s="33"/>
    </row>
    <row r="288" spans="1:14" ht="12.75">
      <c r="A288" s="67"/>
      <c r="B288" s="51"/>
      <c r="C288" s="46"/>
      <c r="D288" s="46"/>
      <c r="E288" s="46"/>
      <c r="F288" s="33"/>
      <c r="G288" s="33"/>
      <c r="H288" s="33"/>
      <c r="I288" s="33"/>
      <c r="J288" s="33"/>
      <c r="K288" s="33"/>
      <c r="L288" s="33"/>
      <c r="M288" s="33"/>
      <c r="N288" s="33"/>
    </row>
    <row r="289" spans="1:14" ht="12.75">
      <c r="A289" s="67"/>
      <c r="B289" s="51"/>
      <c r="C289" s="46"/>
      <c r="D289" s="46"/>
      <c r="E289" s="46"/>
      <c r="F289" s="33"/>
      <c r="G289" s="33"/>
      <c r="H289" s="33"/>
      <c r="I289" s="33"/>
      <c r="J289" s="33"/>
      <c r="K289" s="33"/>
      <c r="L289" s="33"/>
      <c r="M289" s="33"/>
      <c r="N289" s="33"/>
    </row>
    <row r="290" spans="1:14" ht="12.75">
      <c r="A290" s="67"/>
      <c r="B290" s="51"/>
      <c r="C290" s="46"/>
      <c r="D290" s="46"/>
      <c r="E290" s="46"/>
      <c r="F290" s="33"/>
      <c r="G290" s="33"/>
      <c r="H290" s="33"/>
      <c r="I290" s="33"/>
      <c r="J290" s="33"/>
      <c r="K290" s="33"/>
      <c r="L290" s="33"/>
      <c r="M290" s="33"/>
      <c r="N290" s="33"/>
    </row>
    <row r="291" spans="1:14" ht="12.75">
      <c r="A291" s="67"/>
      <c r="B291" s="51"/>
      <c r="C291" s="46"/>
      <c r="D291" s="46"/>
      <c r="E291" s="46"/>
      <c r="F291" s="33"/>
      <c r="G291" s="33"/>
      <c r="H291" s="33"/>
      <c r="I291" s="33"/>
      <c r="J291" s="33"/>
      <c r="K291" s="33"/>
      <c r="L291" s="33"/>
      <c r="M291" s="33"/>
      <c r="N291" s="33"/>
    </row>
    <row r="292" spans="1:14" ht="12.75">
      <c r="A292" s="67"/>
      <c r="B292" s="51"/>
      <c r="C292" s="46"/>
      <c r="D292" s="46"/>
      <c r="E292" s="46"/>
      <c r="F292" s="33"/>
      <c r="G292" s="33"/>
      <c r="H292" s="33"/>
      <c r="I292" s="33"/>
      <c r="J292" s="33"/>
      <c r="K292" s="33"/>
      <c r="L292" s="33"/>
      <c r="M292" s="33"/>
      <c r="N292" s="33"/>
    </row>
    <row r="293" spans="1:5" ht="12.75">
      <c r="A293" s="5"/>
      <c r="B293" s="7"/>
      <c r="C293" s="11"/>
      <c r="D293" s="11"/>
      <c r="E293" s="11"/>
    </row>
    <row r="294" spans="1:5" ht="12.75">
      <c r="A294" s="5"/>
      <c r="B294" s="7"/>
      <c r="C294" s="11"/>
      <c r="D294" s="11"/>
      <c r="E294" s="11"/>
    </row>
    <row r="295" spans="1:5" ht="12.75">
      <c r="A295" s="5"/>
      <c r="B295" s="7"/>
      <c r="C295" s="11"/>
      <c r="D295" s="11"/>
      <c r="E295" s="11"/>
    </row>
    <row r="296" spans="1:5" ht="12.75">
      <c r="A296" s="5"/>
      <c r="B296" s="7"/>
      <c r="C296" s="11"/>
      <c r="D296" s="11"/>
      <c r="E296" s="11"/>
    </row>
    <row r="297" spans="1:5" ht="12.75">
      <c r="A297" s="5"/>
      <c r="B297" s="7"/>
      <c r="C297" s="11"/>
      <c r="D297" s="11"/>
      <c r="E297" s="11"/>
    </row>
    <row r="298" spans="1:5" ht="12.75">
      <c r="A298" s="5"/>
      <c r="B298" s="7"/>
      <c r="C298" s="11"/>
      <c r="D298" s="11"/>
      <c r="E298" s="11"/>
    </row>
    <row r="299" spans="1:5" ht="12.75">
      <c r="A299" s="5"/>
      <c r="B299" s="7"/>
      <c r="C299" s="11"/>
      <c r="D299" s="11"/>
      <c r="E299" s="11"/>
    </row>
    <row r="300" spans="1:5" ht="12.75">
      <c r="A300" s="5"/>
      <c r="B300" s="7"/>
      <c r="C300" s="11"/>
      <c r="D300" s="11"/>
      <c r="E300" s="11"/>
    </row>
    <row r="301" spans="1:5" ht="12.75">
      <c r="A301" s="5"/>
      <c r="B301" s="7"/>
      <c r="C301" s="11"/>
      <c r="D301" s="11"/>
      <c r="E301" s="11"/>
    </row>
    <row r="302" spans="1:5" ht="12.75">
      <c r="A302" s="5"/>
      <c r="B302" s="7"/>
      <c r="C302" s="11"/>
      <c r="D302" s="11"/>
      <c r="E302" s="11"/>
    </row>
    <row r="303" spans="1:2" ht="12.75">
      <c r="A303" s="5"/>
      <c r="B303" s="7"/>
    </row>
    <row r="304" spans="1:2" ht="12.75">
      <c r="A304" s="5"/>
      <c r="B304" s="7"/>
    </row>
    <row r="305" spans="1:2" ht="12.75">
      <c r="A305" s="5"/>
      <c r="B305" s="7"/>
    </row>
    <row r="306" spans="1:2" ht="12.75">
      <c r="A306" s="5"/>
      <c r="B306" s="7"/>
    </row>
    <row r="307" spans="1:2" ht="12.75">
      <c r="A307" s="5"/>
      <c r="B307" s="7"/>
    </row>
    <row r="308" spans="1:2" ht="12.75">
      <c r="A308" s="5"/>
      <c r="B308" s="7"/>
    </row>
    <row r="309" spans="1:2" ht="12.75">
      <c r="A309" s="5"/>
      <c r="B309" s="7"/>
    </row>
    <row r="310" spans="1:2" ht="12.75">
      <c r="A310" s="5"/>
      <c r="B310" s="7"/>
    </row>
    <row r="311" spans="1:2" ht="12.75">
      <c r="A311" s="5"/>
      <c r="B311" s="7"/>
    </row>
    <row r="312" spans="1:2" ht="12.75">
      <c r="A312" s="5"/>
      <c r="B312" s="7"/>
    </row>
    <row r="313" spans="1:2" ht="12.75">
      <c r="A313" s="5"/>
      <c r="B313" s="7"/>
    </row>
    <row r="314" spans="1:2" ht="12.75">
      <c r="A314" s="5"/>
      <c r="B314" s="7"/>
    </row>
    <row r="315" spans="1:2" ht="12.75">
      <c r="A315" s="5"/>
      <c r="B315" s="7"/>
    </row>
    <row r="316" spans="1:2" ht="12.75">
      <c r="A316" s="5"/>
      <c r="B316" s="7"/>
    </row>
    <row r="317" spans="1:2" ht="12.75">
      <c r="A317" s="5"/>
      <c r="B317" s="7"/>
    </row>
    <row r="318" spans="1:2" ht="12.75">
      <c r="A318" s="5"/>
      <c r="B318" s="7"/>
    </row>
    <row r="319" spans="1:2" ht="12.75">
      <c r="A319" s="5"/>
      <c r="B319" s="7"/>
    </row>
    <row r="320" spans="1:2" ht="12.75">
      <c r="A320" s="5"/>
      <c r="B320" s="7"/>
    </row>
    <row r="321" spans="1:2" ht="12.75">
      <c r="A321" s="5"/>
      <c r="B321" s="7"/>
    </row>
    <row r="322" spans="1:2" ht="12.75">
      <c r="A322" s="5"/>
      <c r="B322" s="7"/>
    </row>
    <row r="323" spans="1:2" ht="12.75">
      <c r="A323" s="5"/>
      <c r="B323" s="7"/>
    </row>
    <row r="324" spans="1:2" ht="12.75">
      <c r="A324" s="5"/>
      <c r="B324" s="7"/>
    </row>
    <row r="325" spans="1:2" ht="12.75">
      <c r="A325" s="5"/>
      <c r="B325" s="7"/>
    </row>
    <row r="326" spans="1:2" ht="12.75">
      <c r="A326" s="5"/>
      <c r="B326" s="7"/>
    </row>
    <row r="327" spans="1:2" ht="12.75">
      <c r="A327" s="5"/>
      <c r="B327" s="7"/>
    </row>
    <row r="328" spans="1:2" ht="12.75">
      <c r="A328" s="5"/>
      <c r="B328" s="7"/>
    </row>
    <row r="329" spans="1:2" ht="12.75">
      <c r="A329" s="5"/>
      <c r="B329" s="7"/>
    </row>
    <row r="330" spans="1:2" ht="12.75">
      <c r="A330" s="5"/>
      <c r="B330" s="7"/>
    </row>
    <row r="331" spans="1:2" ht="12.75">
      <c r="A331" s="5"/>
      <c r="B331" s="7"/>
    </row>
    <row r="332" spans="1:2" ht="12.75">
      <c r="A332" s="5"/>
      <c r="B332" s="7"/>
    </row>
    <row r="333" spans="1:2" ht="12.75">
      <c r="A333" s="5"/>
      <c r="B333" s="7"/>
    </row>
    <row r="334" spans="1:2" ht="12.75">
      <c r="A334" s="5"/>
      <c r="B334" s="7"/>
    </row>
    <row r="335" spans="1:2" ht="12.75">
      <c r="A335" s="5"/>
      <c r="B335" s="7"/>
    </row>
    <row r="336" spans="1:2" ht="12.75">
      <c r="A336" s="5"/>
      <c r="B336" s="7"/>
    </row>
    <row r="337" spans="1:2" ht="12.75">
      <c r="A337" s="5"/>
      <c r="B337" s="7"/>
    </row>
    <row r="338" spans="1:2" ht="12.75">
      <c r="A338" s="5"/>
      <c r="B338" s="7"/>
    </row>
    <row r="339" spans="1:2" ht="12.75">
      <c r="A339" s="5"/>
      <c r="B339" s="7"/>
    </row>
    <row r="340" spans="1:2" ht="12.75">
      <c r="A340" s="5"/>
      <c r="B340" s="7"/>
    </row>
    <row r="341" spans="1:2" ht="12.75">
      <c r="A341" s="5"/>
      <c r="B341" s="7"/>
    </row>
    <row r="342" spans="1:2" ht="12.75">
      <c r="A342" s="5"/>
      <c r="B342" s="7"/>
    </row>
    <row r="343" spans="1:2" ht="12.75">
      <c r="A343" s="5"/>
      <c r="B343" s="7"/>
    </row>
    <row r="344" spans="1:2" ht="12.75">
      <c r="A344" s="5"/>
      <c r="B344" s="7"/>
    </row>
    <row r="345" spans="1:2" ht="12.75">
      <c r="A345" s="5"/>
      <c r="B345" s="7"/>
    </row>
    <row r="346" spans="1:2" ht="12.75">
      <c r="A346" s="5"/>
      <c r="B346" s="7"/>
    </row>
    <row r="347" spans="1:2" ht="12.75">
      <c r="A347" s="5"/>
      <c r="B347" s="7"/>
    </row>
    <row r="348" spans="1:2" ht="12.75">
      <c r="A348" s="5"/>
      <c r="B348" s="7"/>
    </row>
    <row r="349" spans="1:2" ht="12.75">
      <c r="A349" s="5"/>
      <c r="B349" s="7"/>
    </row>
    <row r="350" spans="1:2" ht="12.75">
      <c r="A350" s="5"/>
      <c r="B350" s="7"/>
    </row>
    <row r="351" spans="1:2" ht="12.75">
      <c r="A351" s="5"/>
      <c r="B351" s="7"/>
    </row>
    <row r="352" spans="1:2" ht="12.75">
      <c r="A352" s="5"/>
      <c r="B352" s="7"/>
    </row>
    <row r="353" spans="1:2" ht="12.75">
      <c r="A353" s="5"/>
      <c r="B353" s="7"/>
    </row>
    <row r="354" spans="1:2" ht="12.75">
      <c r="A354" s="5"/>
      <c r="B354" s="7"/>
    </row>
    <row r="355" spans="1:2" ht="12.75">
      <c r="A355" s="5"/>
      <c r="B355" s="7"/>
    </row>
    <row r="356" spans="1:2" ht="12.75">
      <c r="A356" s="5"/>
      <c r="B356" s="7"/>
    </row>
    <row r="357" spans="1:2" ht="12.75">
      <c r="A357" s="5"/>
      <c r="B357" s="7"/>
    </row>
    <row r="358" spans="1:2" ht="12.75">
      <c r="A358" s="5"/>
      <c r="B358" s="7"/>
    </row>
    <row r="359" spans="1:2" ht="12.75">
      <c r="A359" s="5"/>
      <c r="B359" s="7"/>
    </row>
    <row r="360" spans="1:2" ht="12.75">
      <c r="A360" s="5"/>
      <c r="B360" s="7"/>
    </row>
    <row r="361" spans="1:2" ht="12.75">
      <c r="A361" s="5"/>
      <c r="B361" s="7"/>
    </row>
    <row r="362" spans="1:2" ht="12.75">
      <c r="A362" s="5"/>
      <c r="B362" s="7"/>
    </row>
    <row r="363" spans="1:2" ht="12.75">
      <c r="A363" s="5"/>
      <c r="B363" s="7"/>
    </row>
    <row r="364" spans="1:2" ht="12.75">
      <c r="A364" s="5"/>
      <c r="B364" s="7"/>
    </row>
    <row r="365" spans="1:2" ht="12.75">
      <c r="A365" s="5"/>
      <c r="B365" s="7"/>
    </row>
    <row r="366" spans="1:2" ht="12.75">
      <c r="A366" s="5"/>
      <c r="B366" s="7"/>
    </row>
    <row r="367" spans="1:2" ht="12.75">
      <c r="A367" s="5"/>
      <c r="B367" s="7"/>
    </row>
    <row r="368" spans="1:2" ht="12.75">
      <c r="A368" s="5"/>
      <c r="B368" s="7"/>
    </row>
    <row r="369" spans="1:2" ht="12.75">
      <c r="A369" s="5"/>
      <c r="B369" s="7"/>
    </row>
    <row r="370" spans="1:2" ht="12.75">
      <c r="A370" s="5"/>
      <c r="B370" s="7"/>
    </row>
    <row r="371" spans="1:2" ht="12.75">
      <c r="A371" s="5"/>
      <c r="B371" s="7"/>
    </row>
    <row r="372" spans="1:2" ht="12.75">
      <c r="A372" s="5"/>
      <c r="B372" s="7"/>
    </row>
    <row r="373" spans="1:2" ht="12.75">
      <c r="A373" s="5"/>
      <c r="B373" s="7"/>
    </row>
    <row r="374" spans="1:2" ht="12.75">
      <c r="A374" s="5"/>
      <c r="B374" s="7"/>
    </row>
    <row r="375" spans="1:2" ht="12.75">
      <c r="A375" s="5"/>
      <c r="B375" s="7"/>
    </row>
    <row r="376" spans="1:2" ht="12.75">
      <c r="A376" s="5"/>
      <c r="B376" s="7"/>
    </row>
    <row r="377" spans="1:2" ht="12.75">
      <c r="A377" s="5"/>
      <c r="B377" s="7"/>
    </row>
    <row r="378" spans="1:2" ht="12.75">
      <c r="A378" s="5"/>
      <c r="B378" s="7"/>
    </row>
    <row r="379" spans="1:2" ht="12.75">
      <c r="A379" s="5"/>
      <c r="B379" s="7"/>
    </row>
    <row r="380" spans="1:2" ht="12.75">
      <c r="A380" s="5"/>
      <c r="B380" s="7"/>
    </row>
    <row r="381" spans="1:2" ht="12.75">
      <c r="A381" s="5"/>
      <c r="B381" s="7"/>
    </row>
    <row r="382" spans="1:2" ht="12.75">
      <c r="A382" s="5"/>
      <c r="B382" s="7"/>
    </row>
    <row r="383" spans="1:2" ht="12.75">
      <c r="A383" s="5"/>
      <c r="B383" s="7"/>
    </row>
    <row r="384" spans="1:2" ht="12.75">
      <c r="A384" s="5"/>
      <c r="B384" s="7"/>
    </row>
    <row r="385" spans="1:2" ht="12.75">
      <c r="A385" s="5"/>
      <c r="B385" s="7"/>
    </row>
    <row r="386" spans="1:2" ht="12.75">
      <c r="A386" s="5"/>
      <c r="B386" s="7"/>
    </row>
    <row r="387" spans="1:2" ht="12.75">
      <c r="A387" s="5"/>
      <c r="B387" s="7"/>
    </row>
    <row r="388" spans="1:2" ht="12.75">
      <c r="A388" s="5"/>
      <c r="B388" s="7"/>
    </row>
    <row r="389" spans="1:2" ht="12.75">
      <c r="A389" s="5"/>
      <c r="B389" s="7"/>
    </row>
    <row r="390" spans="1:2" ht="12.75">
      <c r="A390" s="5"/>
      <c r="B390" s="7"/>
    </row>
    <row r="391" spans="1:2" ht="12.75">
      <c r="A391" s="5"/>
      <c r="B391" s="7"/>
    </row>
    <row r="392" spans="1:2" ht="12.75">
      <c r="A392" s="5"/>
      <c r="B392" s="7"/>
    </row>
    <row r="393" spans="1:2" ht="12.75">
      <c r="A393" s="5"/>
      <c r="B393" s="7"/>
    </row>
    <row r="394" spans="1:2" ht="12.75">
      <c r="A394" s="5"/>
      <c r="B394" s="7"/>
    </row>
    <row r="395" spans="1:2" ht="12.75">
      <c r="A395" s="5"/>
      <c r="B395" s="7"/>
    </row>
    <row r="396" spans="1:2" ht="12.75">
      <c r="A396" s="5"/>
      <c r="B396" s="7"/>
    </row>
    <row r="397" spans="1:2" ht="12.75">
      <c r="A397" s="5"/>
      <c r="B397" s="7"/>
    </row>
    <row r="398" spans="1:2" ht="12.75">
      <c r="A398" s="5"/>
      <c r="B398" s="7"/>
    </row>
    <row r="399" spans="1:2" ht="12.75">
      <c r="A399" s="5"/>
      <c r="B399" s="7"/>
    </row>
    <row r="400" spans="1:2" ht="12.75">
      <c r="A400" s="5"/>
      <c r="B400" s="7"/>
    </row>
    <row r="401" spans="1:2" ht="12.75">
      <c r="A401" s="5"/>
      <c r="B401" s="7"/>
    </row>
    <row r="402" spans="1:2" ht="12.75">
      <c r="A402" s="5"/>
      <c r="B402" s="7"/>
    </row>
    <row r="403" spans="1:2" ht="12.75">
      <c r="A403" s="5"/>
      <c r="B403" s="7"/>
    </row>
    <row r="404" spans="1:2" ht="12.75">
      <c r="A404" s="5"/>
      <c r="B404" s="7"/>
    </row>
    <row r="405" spans="1:2" ht="12.75">
      <c r="A405" s="5"/>
      <c r="B405" s="7"/>
    </row>
    <row r="406" spans="1:2" ht="12.75">
      <c r="A406" s="5"/>
      <c r="B406" s="7"/>
    </row>
    <row r="407" spans="1:2" ht="12.75">
      <c r="A407" s="5"/>
      <c r="B407" s="7"/>
    </row>
    <row r="408" spans="1:2" ht="12.75">
      <c r="A408" s="5"/>
      <c r="B408" s="7"/>
    </row>
    <row r="409" spans="1:2" ht="12.75">
      <c r="A409" s="5"/>
      <c r="B409" s="7"/>
    </row>
    <row r="410" spans="1:2" ht="12.75">
      <c r="A410" s="5"/>
      <c r="B410" s="7"/>
    </row>
    <row r="411" ht="12.75">
      <c r="A411" s="5"/>
    </row>
    <row r="412" ht="12.75">
      <c r="A412" s="5"/>
    </row>
    <row r="413" ht="12.75">
      <c r="A413" s="5"/>
    </row>
    <row r="414" ht="12.75">
      <c r="A414" s="5"/>
    </row>
    <row r="415" ht="12.75">
      <c r="A415" s="5"/>
    </row>
    <row r="416" ht="12.75">
      <c r="A416" s="5"/>
    </row>
    <row r="417" ht="12.75">
      <c r="A417" s="5"/>
    </row>
    <row r="418" ht="12.75">
      <c r="A418" s="5"/>
    </row>
    <row r="419" ht="12.75">
      <c r="A419" s="5"/>
    </row>
    <row r="420" ht="12.75">
      <c r="A420" s="5"/>
    </row>
    <row r="421" ht="12.75">
      <c r="A421" s="5"/>
    </row>
    <row r="422" ht="12.75">
      <c r="A422" s="5"/>
    </row>
    <row r="423" ht="12.75">
      <c r="A423" s="5"/>
    </row>
    <row r="424" ht="12.75">
      <c r="A424" s="5"/>
    </row>
    <row r="425" ht="12.75">
      <c r="A425" s="5"/>
    </row>
    <row r="426" ht="12.75">
      <c r="A426" s="5"/>
    </row>
    <row r="427" ht="12.75">
      <c r="A427" s="5"/>
    </row>
    <row r="428" ht="12.75">
      <c r="A428" s="5"/>
    </row>
    <row r="429" ht="12.75">
      <c r="A429" s="5"/>
    </row>
    <row r="430" ht="12.75">
      <c r="A430" s="5"/>
    </row>
    <row r="431" ht="12.75">
      <c r="A431" s="5"/>
    </row>
    <row r="432" ht="12.75">
      <c r="A432" s="5"/>
    </row>
    <row r="433" ht="12.75">
      <c r="A433" s="5"/>
    </row>
    <row r="434" ht="12.75">
      <c r="A434" s="5"/>
    </row>
    <row r="435" ht="12.75">
      <c r="A435" s="5"/>
    </row>
    <row r="436" ht="12.75">
      <c r="A436" s="5"/>
    </row>
    <row r="437" ht="12.75">
      <c r="A437" s="5"/>
    </row>
    <row r="438" ht="12.75">
      <c r="A438" s="5"/>
    </row>
    <row r="439" ht="12.75">
      <c r="A439" s="5"/>
    </row>
    <row r="440" ht="12.75">
      <c r="A440" s="5"/>
    </row>
    <row r="441" ht="12.75">
      <c r="A441" s="5"/>
    </row>
    <row r="442" ht="12.75">
      <c r="A442" s="5"/>
    </row>
    <row r="443" ht="12.75">
      <c r="A443" s="5"/>
    </row>
    <row r="444" ht="12.75">
      <c r="A444" s="5"/>
    </row>
    <row r="445" ht="12.75">
      <c r="A445" s="5"/>
    </row>
    <row r="446" ht="12.75">
      <c r="A446" s="5"/>
    </row>
    <row r="447" ht="12.75">
      <c r="A447" s="5"/>
    </row>
    <row r="448" ht="12.75">
      <c r="A448" s="5"/>
    </row>
    <row r="449" ht="12.75">
      <c r="A449" s="5"/>
    </row>
    <row r="450" ht="12.75">
      <c r="A450" s="5"/>
    </row>
    <row r="451" ht="12.75">
      <c r="A451" s="5"/>
    </row>
    <row r="452" ht="12.75">
      <c r="A452" s="5"/>
    </row>
    <row r="453" ht="12.75">
      <c r="A453" s="5"/>
    </row>
    <row r="454" ht="12.75">
      <c r="A454" s="5"/>
    </row>
    <row r="455" ht="12.75">
      <c r="A455" s="5"/>
    </row>
    <row r="456" ht="12.75">
      <c r="A456" s="5"/>
    </row>
    <row r="457" ht="12.75">
      <c r="A457" s="5"/>
    </row>
    <row r="458" ht="12.75">
      <c r="A458" s="5"/>
    </row>
    <row r="459" ht="12.75">
      <c r="A459" s="5"/>
    </row>
    <row r="460" ht="12.75">
      <c r="A460" s="5"/>
    </row>
    <row r="461" ht="12.75">
      <c r="A461" s="5"/>
    </row>
    <row r="462" ht="12.75">
      <c r="A462" s="5"/>
    </row>
    <row r="463" ht="12.75">
      <c r="A463" s="5"/>
    </row>
    <row r="464" ht="12.75">
      <c r="A464" s="5"/>
    </row>
    <row r="465" ht="12.75">
      <c r="A465" s="5"/>
    </row>
    <row r="466" ht="12.75">
      <c r="A466" s="5"/>
    </row>
    <row r="467" ht="12.75">
      <c r="A467" s="5"/>
    </row>
    <row r="468" ht="12.75">
      <c r="A468" s="5"/>
    </row>
    <row r="469" ht="12.75">
      <c r="A469" s="5"/>
    </row>
    <row r="470" ht="12.75">
      <c r="A470" s="5"/>
    </row>
    <row r="471" ht="12.75">
      <c r="A471" s="5"/>
    </row>
    <row r="472" ht="12.75">
      <c r="A472" s="5"/>
    </row>
    <row r="473" ht="12.75">
      <c r="A473" s="5"/>
    </row>
    <row r="474" ht="12.75">
      <c r="A474" s="5"/>
    </row>
    <row r="475" ht="12.75">
      <c r="A475" s="5"/>
    </row>
    <row r="476" ht="12.75">
      <c r="A476" s="5"/>
    </row>
    <row r="477" ht="12.75">
      <c r="A477" s="5"/>
    </row>
    <row r="478" ht="12.75">
      <c r="A478" s="5"/>
    </row>
    <row r="479" ht="12.75">
      <c r="A479" s="5"/>
    </row>
    <row r="480" ht="12.75">
      <c r="A480" s="5"/>
    </row>
    <row r="481" ht="12.75">
      <c r="A481" s="5"/>
    </row>
    <row r="482" ht="12.75">
      <c r="A482" s="5"/>
    </row>
    <row r="483" ht="12.75">
      <c r="A483" s="5"/>
    </row>
    <row r="484" ht="12.75">
      <c r="A484" s="5"/>
    </row>
    <row r="485" ht="12.75">
      <c r="A485" s="5"/>
    </row>
    <row r="486" ht="12.75">
      <c r="A486" s="5"/>
    </row>
    <row r="487" ht="12.75">
      <c r="A487" s="5"/>
    </row>
    <row r="488" ht="12.75">
      <c r="A488" s="5"/>
    </row>
    <row r="489" ht="12.75">
      <c r="A489" s="5"/>
    </row>
    <row r="490" ht="12.75">
      <c r="A490" s="5"/>
    </row>
    <row r="491" ht="12.75">
      <c r="A491" s="5"/>
    </row>
    <row r="492" ht="12.75">
      <c r="A492" s="5"/>
    </row>
    <row r="493" ht="12.75">
      <c r="A493" s="5"/>
    </row>
    <row r="494" ht="12.75">
      <c r="A494" s="5"/>
    </row>
    <row r="495" ht="12.75">
      <c r="A495" s="5"/>
    </row>
    <row r="496" ht="12.75">
      <c r="A496" s="5"/>
    </row>
    <row r="497" ht="12.75">
      <c r="A497" s="5"/>
    </row>
    <row r="498" ht="12.75">
      <c r="A498" s="5"/>
    </row>
    <row r="499" ht="12.75">
      <c r="A499" s="5"/>
    </row>
    <row r="500" ht="12.75">
      <c r="A500" s="5"/>
    </row>
    <row r="501" ht="12.75">
      <c r="A501" s="5"/>
    </row>
    <row r="502" ht="12.75">
      <c r="A502" s="5"/>
    </row>
    <row r="503" ht="12.75">
      <c r="A503" s="5"/>
    </row>
    <row r="504" ht="12.75">
      <c r="A504" s="5"/>
    </row>
    <row r="505" ht="12.75">
      <c r="A505" s="5"/>
    </row>
    <row r="506" ht="12.75">
      <c r="A506" s="5"/>
    </row>
    <row r="507" ht="12.75">
      <c r="A507" s="5"/>
    </row>
    <row r="508" ht="12.75">
      <c r="A508" s="5"/>
    </row>
    <row r="509" ht="12.75">
      <c r="A509" s="5"/>
    </row>
    <row r="510" ht="12.75">
      <c r="A510" s="5"/>
    </row>
    <row r="511" ht="12.75">
      <c r="A511" s="5"/>
    </row>
    <row r="512" ht="12.75">
      <c r="A512" s="5"/>
    </row>
    <row r="513" ht="12.75">
      <c r="A513" s="5"/>
    </row>
    <row r="514" ht="12.75">
      <c r="A514" s="5"/>
    </row>
    <row r="515" ht="12.75">
      <c r="A515" s="5"/>
    </row>
    <row r="516" ht="12.75">
      <c r="A516" s="5"/>
    </row>
    <row r="517" ht="12.75">
      <c r="A517" s="5"/>
    </row>
    <row r="518" ht="12.75">
      <c r="A518" s="5"/>
    </row>
    <row r="519" ht="12.75">
      <c r="A519" s="5"/>
    </row>
    <row r="520" ht="12.75">
      <c r="A520" s="5"/>
    </row>
    <row r="521" ht="12.75">
      <c r="A521" s="5"/>
    </row>
    <row r="522" ht="12.75">
      <c r="A522" s="5"/>
    </row>
    <row r="523" ht="12.75">
      <c r="A523" s="5"/>
    </row>
    <row r="524" ht="12.75">
      <c r="A524" s="5"/>
    </row>
    <row r="525" ht="12.75">
      <c r="A525" s="5"/>
    </row>
    <row r="526" ht="12.75">
      <c r="A526" s="5"/>
    </row>
    <row r="527" ht="12.75">
      <c r="A527" s="5"/>
    </row>
    <row r="528" ht="12.75">
      <c r="A528" s="5"/>
    </row>
    <row r="529" ht="12.75">
      <c r="A529" s="5"/>
    </row>
    <row r="530" ht="12.75">
      <c r="A530" s="5"/>
    </row>
    <row r="531" ht="12.75">
      <c r="A531" s="5"/>
    </row>
    <row r="532" ht="12.75">
      <c r="A532" s="5"/>
    </row>
    <row r="533" ht="12.75">
      <c r="A533" s="5"/>
    </row>
    <row r="534" ht="12.75">
      <c r="A534" s="5"/>
    </row>
    <row r="535" ht="12.75">
      <c r="A535" s="5"/>
    </row>
    <row r="536" ht="12.75">
      <c r="A536" s="5"/>
    </row>
    <row r="537" ht="12.75">
      <c r="A537" s="5"/>
    </row>
    <row r="538" ht="12.75">
      <c r="A538" s="5"/>
    </row>
    <row r="539" ht="12.75">
      <c r="A539" s="5"/>
    </row>
    <row r="540" ht="12.75">
      <c r="A540" s="5"/>
    </row>
    <row r="541" ht="12.75">
      <c r="A541" s="5"/>
    </row>
    <row r="542" ht="12.75">
      <c r="A542" s="5"/>
    </row>
    <row r="543" ht="12.75">
      <c r="A543" s="5"/>
    </row>
    <row r="544" ht="12.75">
      <c r="A544" s="5"/>
    </row>
    <row r="545" ht="12.75">
      <c r="A545" s="5"/>
    </row>
    <row r="546" ht="12.75">
      <c r="A546" s="5"/>
    </row>
    <row r="547" ht="12.75">
      <c r="A547" s="5"/>
    </row>
    <row r="548" ht="12.75">
      <c r="A548" s="5"/>
    </row>
    <row r="549" ht="12.75">
      <c r="A549" s="5"/>
    </row>
    <row r="550" ht="12.75">
      <c r="A550" s="5"/>
    </row>
    <row r="551" ht="12.75">
      <c r="A551" s="5"/>
    </row>
    <row r="552" ht="12.75">
      <c r="A552" s="5"/>
    </row>
    <row r="553" ht="12.75">
      <c r="A553" s="5"/>
    </row>
    <row r="554" ht="12.75">
      <c r="A554" s="5"/>
    </row>
    <row r="555" ht="12.75">
      <c r="A555" s="5"/>
    </row>
    <row r="556" ht="12.75">
      <c r="A556" s="5"/>
    </row>
    <row r="557" ht="12.75">
      <c r="A557" s="5"/>
    </row>
    <row r="558" ht="12.75">
      <c r="A558" s="5"/>
    </row>
    <row r="559" ht="12.75">
      <c r="A559" s="5"/>
    </row>
    <row r="560" ht="12.75">
      <c r="A560" s="5"/>
    </row>
    <row r="561" ht="12.75">
      <c r="A561" s="5"/>
    </row>
    <row r="562" ht="12.75">
      <c r="A562" s="5"/>
    </row>
    <row r="563" ht="12.75">
      <c r="A563" s="5"/>
    </row>
    <row r="564" ht="12.75">
      <c r="A564" s="5"/>
    </row>
    <row r="565" ht="12.75">
      <c r="A565" s="5"/>
    </row>
    <row r="566" ht="12.75">
      <c r="A566" s="5"/>
    </row>
    <row r="567" ht="12.75">
      <c r="A567" s="5"/>
    </row>
    <row r="568" ht="12.75">
      <c r="A568" s="5"/>
    </row>
    <row r="569" ht="12.75">
      <c r="A569" s="5"/>
    </row>
    <row r="570" ht="12.75">
      <c r="A570" s="5"/>
    </row>
    <row r="571" ht="12.75">
      <c r="A571" s="5"/>
    </row>
    <row r="572" ht="12.75">
      <c r="A572" s="5"/>
    </row>
    <row r="573" ht="12.75">
      <c r="A573" s="5"/>
    </row>
    <row r="574" ht="12.75">
      <c r="A574" s="5"/>
    </row>
    <row r="575" ht="12.75">
      <c r="A575" s="5"/>
    </row>
    <row r="576" ht="12.75">
      <c r="A576" s="5"/>
    </row>
    <row r="577" ht="12.75">
      <c r="A577" s="5"/>
    </row>
    <row r="578" ht="12.75">
      <c r="A578" s="5"/>
    </row>
    <row r="579" ht="12.75">
      <c r="A579" s="5"/>
    </row>
    <row r="580" ht="12.75">
      <c r="A580" s="5"/>
    </row>
    <row r="581" ht="12.75">
      <c r="A581" s="5"/>
    </row>
    <row r="582" ht="12.75">
      <c r="A582" s="5"/>
    </row>
    <row r="583" ht="12.75">
      <c r="A583" s="5"/>
    </row>
    <row r="584" ht="12.75">
      <c r="A584" s="5"/>
    </row>
    <row r="585" ht="12.75">
      <c r="A585" s="5"/>
    </row>
    <row r="586" ht="12.75">
      <c r="A586" s="5"/>
    </row>
    <row r="587" ht="12.75">
      <c r="A587" s="5"/>
    </row>
    <row r="588" ht="12.75">
      <c r="A588" s="5"/>
    </row>
    <row r="589" ht="12.75">
      <c r="A589" s="5"/>
    </row>
    <row r="590" ht="12.75">
      <c r="A590" s="5"/>
    </row>
    <row r="591" ht="12.75">
      <c r="A591" s="5"/>
    </row>
    <row r="592" ht="12.75">
      <c r="A592" s="5"/>
    </row>
    <row r="593" ht="12.75">
      <c r="A593" s="5"/>
    </row>
    <row r="594" ht="12.75">
      <c r="A594" s="5"/>
    </row>
    <row r="595" ht="12.75">
      <c r="A595" s="5"/>
    </row>
    <row r="596" ht="12.75">
      <c r="A596" s="5"/>
    </row>
    <row r="597" ht="12.75">
      <c r="A597" s="5"/>
    </row>
    <row r="598" ht="12.75">
      <c r="A598" s="5"/>
    </row>
    <row r="599" ht="12.75">
      <c r="A599" s="5"/>
    </row>
    <row r="600" ht="12.75">
      <c r="A600" s="5"/>
    </row>
    <row r="601" ht="12.75">
      <c r="A601" s="5"/>
    </row>
    <row r="602" ht="12.75">
      <c r="A602" s="5"/>
    </row>
    <row r="603" ht="12.75">
      <c r="A603" s="5"/>
    </row>
    <row r="604" ht="12.75">
      <c r="A604" s="5"/>
    </row>
    <row r="605" ht="12.75">
      <c r="A605" s="5"/>
    </row>
    <row r="606" ht="12.75">
      <c r="A606" s="5"/>
    </row>
    <row r="607" ht="12.75">
      <c r="A607" s="5"/>
    </row>
    <row r="608" ht="12.75">
      <c r="A608" s="5"/>
    </row>
    <row r="609" ht="12.75">
      <c r="A609" s="5"/>
    </row>
    <row r="610" ht="12.75">
      <c r="A610" s="5"/>
    </row>
    <row r="611" ht="12.75">
      <c r="A611" s="5"/>
    </row>
    <row r="612" ht="12.75">
      <c r="A612" s="5"/>
    </row>
    <row r="613" ht="12.75">
      <c r="A613" s="5"/>
    </row>
    <row r="614" ht="12.75">
      <c r="A614" s="5"/>
    </row>
    <row r="615" ht="12.75">
      <c r="A615" s="5"/>
    </row>
    <row r="616" ht="12.75">
      <c r="A616" s="5"/>
    </row>
    <row r="617" ht="12.75">
      <c r="A617" s="5"/>
    </row>
    <row r="618" ht="12.75">
      <c r="A618" s="5"/>
    </row>
    <row r="619" ht="12.75">
      <c r="A619" s="5"/>
    </row>
    <row r="620" ht="12.75">
      <c r="A620" s="5"/>
    </row>
    <row r="621" ht="12.75">
      <c r="A621" s="5"/>
    </row>
    <row r="622" ht="12.75">
      <c r="A622" s="5"/>
    </row>
    <row r="623" ht="12.75">
      <c r="A623" s="5"/>
    </row>
    <row r="624" ht="12.75">
      <c r="A624" s="5"/>
    </row>
    <row r="625" ht="12.75">
      <c r="A625" s="5"/>
    </row>
    <row r="626" ht="12.75">
      <c r="A626" s="5"/>
    </row>
    <row r="627" ht="12.75">
      <c r="A627" s="5"/>
    </row>
    <row r="628" ht="12.75">
      <c r="A628" s="5"/>
    </row>
    <row r="629" ht="12.75">
      <c r="A629" s="5"/>
    </row>
    <row r="630" ht="12.75">
      <c r="A630" s="5"/>
    </row>
    <row r="631" ht="12.75">
      <c r="A631" s="5"/>
    </row>
    <row r="632" ht="12.75">
      <c r="A632" s="5"/>
    </row>
    <row r="633" ht="12.75">
      <c r="A633" s="5"/>
    </row>
    <row r="634" ht="12.75">
      <c r="A634" s="5"/>
    </row>
    <row r="635" ht="12.75">
      <c r="A635" s="5"/>
    </row>
    <row r="636" ht="12.75">
      <c r="A636" s="5"/>
    </row>
    <row r="637" ht="12.75">
      <c r="A637" s="5"/>
    </row>
    <row r="638" ht="12.75">
      <c r="A638" s="5"/>
    </row>
    <row r="639" ht="12.75">
      <c r="A639" s="5"/>
    </row>
    <row r="640" ht="12.75">
      <c r="A640" s="5"/>
    </row>
    <row r="641" ht="12.75">
      <c r="A641" s="5"/>
    </row>
    <row r="642" ht="12.75">
      <c r="A642" s="5"/>
    </row>
    <row r="643" ht="12.75">
      <c r="A643" s="5"/>
    </row>
    <row r="644" ht="12.75">
      <c r="A644" s="5"/>
    </row>
    <row r="645" ht="12.75">
      <c r="A645" s="5"/>
    </row>
    <row r="646" ht="12.75">
      <c r="A646" s="5"/>
    </row>
    <row r="647" ht="12.75">
      <c r="A647" s="5"/>
    </row>
    <row r="648" ht="12.75">
      <c r="A648" s="5"/>
    </row>
    <row r="649" ht="12.75">
      <c r="A649" s="5"/>
    </row>
    <row r="650" ht="12.75">
      <c r="A650" s="5"/>
    </row>
    <row r="651" ht="12.75">
      <c r="A651" s="5"/>
    </row>
    <row r="652" ht="12.75">
      <c r="A652" s="5"/>
    </row>
    <row r="653" ht="12.75">
      <c r="A653" s="5"/>
    </row>
    <row r="654" ht="12.75">
      <c r="A654" s="5"/>
    </row>
    <row r="655" ht="12.75">
      <c r="A655" s="5"/>
    </row>
    <row r="656" ht="12.75">
      <c r="A656" s="5"/>
    </row>
    <row r="657" ht="12.75">
      <c r="A657" s="5"/>
    </row>
    <row r="658" ht="12.75">
      <c r="A658" s="5"/>
    </row>
    <row r="659" ht="12.75">
      <c r="A659" s="5"/>
    </row>
    <row r="660" ht="12.75">
      <c r="A660" s="5"/>
    </row>
    <row r="661" ht="12.75">
      <c r="A661" s="5"/>
    </row>
    <row r="662" ht="12.75">
      <c r="A662" s="5"/>
    </row>
    <row r="663" ht="12.75">
      <c r="A663" s="5"/>
    </row>
    <row r="664" ht="12.75">
      <c r="A664" s="5"/>
    </row>
    <row r="665" ht="12.75">
      <c r="A665" s="5"/>
    </row>
    <row r="666" ht="12.75">
      <c r="A666" s="5"/>
    </row>
    <row r="667" ht="12.75">
      <c r="A667" s="5"/>
    </row>
    <row r="668" ht="12.75">
      <c r="A668" s="5"/>
    </row>
    <row r="669" ht="12.75">
      <c r="A669" s="5"/>
    </row>
    <row r="670" ht="12.75">
      <c r="A670" s="5"/>
    </row>
    <row r="671" ht="12.75">
      <c r="A671" s="5"/>
    </row>
    <row r="672" ht="12.75">
      <c r="A672" s="5"/>
    </row>
    <row r="673" ht="12.75">
      <c r="A673" s="5"/>
    </row>
    <row r="674" ht="12.75">
      <c r="A674" s="5"/>
    </row>
    <row r="675" ht="12.75">
      <c r="A675" s="5"/>
    </row>
    <row r="676" ht="12.75">
      <c r="A676" s="5"/>
    </row>
    <row r="677" ht="12.75">
      <c r="A677" s="5"/>
    </row>
    <row r="678" ht="12.75">
      <c r="A678" s="5"/>
    </row>
    <row r="679" ht="12.75">
      <c r="A679" s="5"/>
    </row>
    <row r="680" ht="12.75">
      <c r="A680" s="5"/>
    </row>
    <row r="681" ht="12.75">
      <c r="A681" s="5"/>
    </row>
    <row r="682" ht="12.75">
      <c r="A682" s="5"/>
    </row>
    <row r="683" ht="12.75">
      <c r="A683" s="5"/>
    </row>
    <row r="684" ht="12.75">
      <c r="A684" s="5"/>
    </row>
    <row r="685" ht="12.75">
      <c r="A685" s="5"/>
    </row>
    <row r="686" ht="12.75">
      <c r="A686" s="5"/>
    </row>
    <row r="687" ht="12.75">
      <c r="A687" s="5"/>
    </row>
    <row r="688" ht="12.75">
      <c r="A688" s="5"/>
    </row>
    <row r="689" ht="12.75">
      <c r="A689" s="5"/>
    </row>
    <row r="690" ht="12.75">
      <c r="A690" s="5"/>
    </row>
    <row r="691" ht="12.75">
      <c r="A691" s="5"/>
    </row>
    <row r="692" ht="12.75">
      <c r="A692" s="5"/>
    </row>
    <row r="693" ht="12.75">
      <c r="A693" s="5"/>
    </row>
    <row r="694" ht="12.75">
      <c r="A694" s="5"/>
    </row>
    <row r="695" ht="12.75">
      <c r="A695" s="5"/>
    </row>
    <row r="696" ht="12.75">
      <c r="A696" s="5"/>
    </row>
    <row r="697" ht="12.75">
      <c r="A697" s="5"/>
    </row>
    <row r="698" ht="12.75">
      <c r="A698" s="5"/>
    </row>
    <row r="699" ht="12.75">
      <c r="A699" s="5"/>
    </row>
    <row r="700" ht="12.75">
      <c r="A700" s="5"/>
    </row>
    <row r="701" ht="12.75">
      <c r="A701" s="5"/>
    </row>
    <row r="702" ht="12.75">
      <c r="A702" s="5"/>
    </row>
    <row r="703" ht="12.75">
      <c r="A703" s="5"/>
    </row>
    <row r="704" ht="12.75">
      <c r="A704" s="5"/>
    </row>
    <row r="705" ht="12.75">
      <c r="A705" s="5"/>
    </row>
    <row r="706" ht="12.75">
      <c r="A706" s="5"/>
    </row>
    <row r="707" ht="12.75">
      <c r="A707" s="5"/>
    </row>
    <row r="708" ht="12.75">
      <c r="A708" s="5"/>
    </row>
    <row r="709" ht="12.75">
      <c r="A709" s="5"/>
    </row>
    <row r="710" ht="12.75">
      <c r="A710" s="5"/>
    </row>
    <row r="711" ht="12.75">
      <c r="A711" s="5"/>
    </row>
    <row r="712" ht="12.75">
      <c r="A712" s="5"/>
    </row>
    <row r="713" ht="12.75">
      <c r="A713" s="5"/>
    </row>
    <row r="714" ht="12.75">
      <c r="A714" s="5"/>
    </row>
    <row r="715" ht="12.75">
      <c r="A715" s="5"/>
    </row>
    <row r="716" ht="12.75">
      <c r="A716" s="5"/>
    </row>
    <row r="717" ht="12.75">
      <c r="A717" s="5"/>
    </row>
    <row r="718" ht="12.75">
      <c r="A718" s="5"/>
    </row>
    <row r="719" ht="12.75">
      <c r="A719" s="5"/>
    </row>
    <row r="720" ht="12.75">
      <c r="A720" s="5"/>
    </row>
    <row r="721" ht="12.75">
      <c r="A721" s="5"/>
    </row>
    <row r="722" ht="12.75">
      <c r="A722" s="5"/>
    </row>
    <row r="723" ht="12.75">
      <c r="A723" s="5"/>
    </row>
    <row r="724" ht="12.75">
      <c r="A724" s="5"/>
    </row>
    <row r="725" ht="12.75">
      <c r="A725" s="5"/>
    </row>
    <row r="726" ht="12.75">
      <c r="A726" s="5"/>
    </row>
    <row r="727" ht="12.75">
      <c r="A727" s="5"/>
    </row>
    <row r="728" ht="12.75">
      <c r="A728" s="5"/>
    </row>
    <row r="729" ht="12.75">
      <c r="A729" s="5"/>
    </row>
    <row r="730" ht="12.75">
      <c r="A730" s="5"/>
    </row>
    <row r="731" ht="12.75">
      <c r="A731" s="5"/>
    </row>
    <row r="732" ht="12.75">
      <c r="A732" s="5"/>
    </row>
    <row r="733" ht="12.75">
      <c r="A733" s="5"/>
    </row>
    <row r="734" ht="12.75">
      <c r="A734" s="5"/>
    </row>
    <row r="735" ht="12.75">
      <c r="A735" s="5"/>
    </row>
    <row r="736" ht="12.75">
      <c r="A736" s="5"/>
    </row>
    <row r="737" ht="12.75">
      <c r="A737" s="5"/>
    </row>
    <row r="738" ht="12.75">
      <c r="A738" s="5"/>
    </row>
    <row r="739" ht="12.75">
      <c r="A739" s="5"/>
    </row>
    <row r="740" ht="12.75">
      <c r="A740" s="5"/>
    </row>
    <row r="741" ht="12.75">
      <c r="A741" s="5"/>
    </row>
    <row r="742" ht="12.75">
      <c r="A742" s="5"/>
    </row>
    <row r="743" ht="12.75">
      <c r="A743" s="5"/>
    </row>
    <row r="744" ht="12.75">
      <c r="A744" s="5"/>
    </row>
    <row r="745" ht="12.75">
      <c r="A745" s="5"/>
    </row>
    <row r="746" ht="12.75">
      <c r="A746" s="5"/>
    </row>
    <row r="747" ht="12.75">
      <c r="A747" s="5"/>
    </row>
    <row r="748" ht="12.75">
      <c r="A748" s="5"/>
    </row>
    <row r="749" ht="12.75">
      <c r="A749" s="5"/>
    </row>
    <row r="750" ht="12.75">
      <c r="A750" s="5"/>
    </row>
    <row r="751" ht="12.75">
      <c r="A751" s="5"/>
    </row>
    <row r="752" ht="12.75">
      <c r="A752" s="5"/>
    </row>
    <row r="753" ht="12.75">
      <c r="A753" s="5"/>
    </row>
    <row r="754" ht="12.75">
      <c r="A754" s="5"/>
    </row>
    <row r="755" ht="12.75">
      <c r="A755" s="5"/>
    </row>
    <row r="756" ht="12.75">
      <c r="A756" s="5"/>
    </row>
    <row r="757" ht="12.75">
      <c r="A757" s="5"/>
    </row>
    <row r="758" ht="12.75">
      <c r="A758" s="5"/>
    </row>
    <row r="759" ht="12.75">
      <c r="A759" s="5"/>
    </row>
    <row r="760" ht="12.75">
      <c r="A760" s="5"/>
    </row>
    <row r="761" ht="12.75">
      <c r="A761" s="5"/>
    </row>
    <row r="762" ht="12.75">
      <c r="A762" s="5"/>
    </row>
    <row r="763" ht="12.75">
      <c r="A763" s="5"/>
    </row>
    <row r="764" ht="12.75">
      <c r="A764" s="5"/>
    </row>
    <row r="765" ht="12.75">
      <c r="A765" s="5"/>
    </row>
    <row r="766" ht="12.75">
      <c r="A766" s="5"/>
    </row>
    <row r="767" ht="12.75">
      <c r="A767" s="5"/>
    </row>
    <row r="768" ht="12.75">
      <c r="A768" s="5"/>
    </row>
    <row r="769" ht="12.75">
      <c r="A769" s="5"/>
    </row>
    <row r="770" ht="12.75">
      <c r="A770" s="5"/>
    </row>
    <row r="771" ht="12.75">
      <c r="A771" s="5"/>
    </row>
    <row r="772" ht="12.75">
      <c r="A772" s="5"/>
    </row>
    <row r="773" ht="12.75">
      <c r="A773" s="5"/>
    </row>
    <row r="774" ht="12.75">
      <c r="A774" s="5"/>
    </row>
    <row r="775" ht="12.75">
      <c r="A775" s="5"/>
    </row>
    <row r="776" ht="12.75">
      <c r="A776" s="5"/>
    </row>
    <row r="777" ht="12.75">
      <c r="A777" s="5"/>
    </row>
    <row r="778" ht="12.75">
      <c r="A778" s="5"/>
    </row>
    <row r="779" ht="12.75">
      <c r="A779" s="5"/>
    </row>
    <row r="780" ht="12.75">
      <c r="A780" s="5"/>
    </row>
    <row r="781" ht="12.75">
      <c r="A781" s="5"/>
    </row>
    <row r="782" ht="12.75">
      <c r="A782" s="5"/>
    </row>
    <row r="783" ht="12.75">
      <c r="A783" s="5"/>
    </row>
    <row r="784" ht="12.75">
      <c r="A784" s="5"/>
    </row>
    <row r="785" ht="12.75">
      <c r="A785" s="5"/>
    </row>
    <row r="786" ht="12.75">
      <c r="A786" s="5"/>
    </row>
    <row r="787" ht="12.75">
      <c r="A787" s="5"/>
    </row>
    <row r="788" ht="12.75">
      <c r="A788" s="5"/>
    </row>
    <row r="789" ht="12.75">
      <c r="A789" s="5"/>
    </row>
    <row r="790" ht="12.75">
      <c r="A790" s="5"/>
    </row>
    <row r="791" ht="12.75">
      <c r="A791" s="5"/>
    </row>
    <row r="792" ht="12.75">
      <c r="A792" s="5"/>
    </row>
    <row r="793" ht="12.75">
      <c r="A793" s="5"/>
    </row>
    <row r="794" ht="12.75">
      <c r="A794" s="5"/>
    </row>
    <row r="795" ht="12.75">
      <c r="A795" s="5"/>
    </row>
    <row r="796" ht="12.75">
      <c r="A796" s="5"/>
    </row>
    <row r="797" ht="12.75">
      <c r="A797" s="5"/>
    </row>
    <row r="798" ht="12.75">
      <c r="A798" s="5"/>
    </row>
    <row r="799" ht="12.75">
      <c r="A799" s="5"/>
    </row>
    <row r="800" ht="12.75">
      <c r="A800" s="5"/>
    </row>
    <row r="801" ht="12.75">
      <c r="A801" s="5"/>
    </row>
    <row r="802" ht="12.75">
      <c r="A802" s="5"/>
    </row>
    <row r="803" ht="12.75">
      <c r="A803" s="5"/>
    </row>
    <row r="804" ht="12.75">
      <c r="A804" s="5"/>
    </row>
    <row r="805" ht="12.75">
      <c r="A805" s="5"/>
    </row>
    <row r="806" ht="12.75">
      <c r="A806" s="5"/>
    </row>
    <row r="807" ht="12.75">
      <c r="A807" s="5"/>
    </row>
    <row r="808" ht="12.75">
      <c r="A808" s="5"/>
    </row>
    <row r="809" ht="12.75">
      <c r="A809" s="5"/>
    </row>
    <row r="810" ht="12.75">
      <c r="A810" s="5"/>
    </row>
    <row r="811" ht="12.75">
      <c r="A811" s="5"/>
    </row>
    <row r="812" ht="12.75">
      <c r="A812" s="5"/>
    </row>
    <row r="813" ht="12.75">
      <c r="A813" s="5"/>
    </row>
    <row r="814" ht="12.75">
      <c r="A814" s="5"/>
    </row>
    <row r="815" ht="12.75">
      <c r="A815" s="5"/>
    </row>
    <row r="816" ht="12.75">
      <c r="A816" s="5"/>
    </row>
    <row r="817" ht="12.75">
      <c r="A817" s="5"/>
    </row>
    <row r="818" ht="12.75">
      <c r="A818" s="5"/>
    </row>
    <row r="819" ht="12.75">
      <c r="A819" s="5"/>
    </row>
    <row r="820" ht="12.75">
      <c r="A820" s="5"/>
    </row>
    <row r="821" ht="12.75">
      <c r="A821" s="5"/>
    </row>
    <row r="822" ht="12.75">
      <c r="A822" s="5"/>
    </row>
    <row r="823" ht="12.75">
      <c r="A823" s="5"/>
    </row>
    <row r="824" ht="12.75">
      <c r="A824" s="5"/>
    </row>
    <row r="825" ht="12.75">
      <c r="A825" s="5"/>
    </row>
    <row r="826" ht="12.75">
      <c r="A826" s="5"/>
    </row>
    <row r="827" ht="12.75">
      <c r="A827" s="5"/>
    </row>
    <row r="828" ht="12.75">
      <c r="A828" s="5"/>
    </row>
    <row r="829" ht="12.75">
      <c r="A829" s="5"/>
    </row>
    <row r="830" ht="12.75">
      <c r="A830" s="5"/>
    </row>
    <row r="831" ht="12.75">
      <c r="A831" s="5"/>
    </row>
    <row r="832" ht="12.75">
      <c r="A832" s="5"/>
    </row>
    <row r="833" ht="12.75">
      <c r="A833" s="5"/>
    </row>
    <row r="834" ht="12.75">
      <c r="A834" s="5"/>
    </row>
    <row r="835" ht="12.75">
      <c r="A835" s="5"/>
    </row>
    <row r="836" ht="12.75">
      <c r="A836" s="5"/>
    </row>
    <row r="837" ht="12.75">
      <c r="A837" s="5"/>
    </row>
    <row r="838" ht="12.75">
      <c r="A838" s="5"/>
    </row>
    <row r="839" ht="12.75">
      <c r="A839" s="5"/>
    </row>
    <row r="840" ht="12.75">
      <c r="A840" s="5"/>
    </row>
    <row r="841" ht="12.75">
      <c r="A841" s="5"/>
    </row>
    <row r="842" ht="12.75">
      <c r="A842" s="5"/>
    </row>
    <row r="843" ht="12.75">
      <c r="A843" s="5"/>
    </row>
    <row r="844" ht="12.75">
      <c r="A844" s="5"/>
    </row>
    <row r="845" ht="12.75">
      <c r="A845" s="5"/>
    </row>
    <row r="846" ht="12.75">
      <c r="A846" s="5"/>
    </row>
    <row r="847" ht="12.75">
      <c r="A847" s="5"/>
    </row>
    <row r="848" ht="12.75">
      <c r="A848" s="5"/>
    </row>
    <row r="849" ht="12.75">
      <c r="A849" s="5"/>
    </row>
    <row r="850" ht="12.75">
      <c r="A850" s="5"/>
    </row>
    <row r="851" ht="12.75">
      <c r="A851" s="5"/>
    </row>
    <row r="852" ht="12.75">
      <c r="A852" s="5"/>
    </row>
    <row r="853" ht="12.75">
      <c r="A853" s="5"/>
    </row>
    <row r="854" ht="12.75">
      <c r="A854" s="5"/>
    </row>
    <row r="855" ht="12.75">
      <c r="A855" s="5"/>
    </row>
    <row r="856" ht="12.75">
      <c r="A856" s="5"/>
    </row>
    <row r="857" ht="12.75">
      <c r="A857" s="5"/>
    </row>
    <row r="858" ht="12.75">
      <c r="A858" s="5"/>
    </row>
    <row r="859" ht="12.75">
      <c r="A859" s="5"/>
    </row>
    <row r="860" ht="12.75">
      <c r="A860" s="5"/>
    </row>
    <row r="861" ht="12.75">
      <c r="A861" s="5"/>
    </row>
    <row r="862" ht="12.75">
      <c r="A862" s="5"/>
    </row>
    <row r="863" ht="12.75">
      <c r="A863" s="5"/>
    </row>
    <row r="864" ht="12.75">
      <c r="A864" s="5"/>
    </row>
    <row r="865" ht="12.75">
      <c r="A865" s="5"/>
    </row>
    <row r="866" ht="12.75">
      <c r="A866" s="5"/>
    </row>
    <row r="867" ht="12.75">
      <c r="A867" s="5"/>
    </row>
    <row r="868" ht="12.75">
      <c r="A868" s="5"/>
    </row>
    <row r="869" ht="12.75">
      <c r="A869" s="5"/>
    </row>
    <row r="870" ht="12.75">
      <c r="A870" s="5"/>
    </row>
    <row r="871" ht="12.75">
      <c r="A871" s="5"/>
    </row>
    <row r="872" ht="12.75">
      <c r="A872" s="5"/>
    </row>
    <row r="873" ht="12.75">
      <c r="A873" s="5"/>
    </row>
    <row r="874" ht="12.75">
      <c r="A874" s="5"/>
    </row>
    <row r="875" ht="12.75">
      <c r="A875" s="5"/>
    </row>
    <row r="876" ht="12.75">
      <c r="A876" s="5"/>
    </row>
    <row r="877" ht="12.75">
      <c r="A877" s="5"/>
    </row>
    <row r="878" ht="12.75">
      <c r="A878" s="5"/>
    </row>
    <row r="879" ht="12.75">
      <c r="A879" s="5"/>
    </row>
    <row r="880" ht="12.75">
      <c r="A880" s="5"/>
    </row>
    <row r="881" ht="12.75">
      <c r="A881" s="5"/>
    </row>
    <row r="882" ht="12.75">
      <c r="A882" s="5"/>
    </row>
    <row r="883" ht="12.75">
      <c r="A883" s="5"/>
    </row>
    <row r="884" ht="12.75">
      <c r="A884" s="5"/>
    </row>
    <row r="885" ht="12.75">
      <c r="A885" s="5"/>
    </row>
    <row r="886" ht="12.75">
      <c r="A886" s="5"/>
    </row>
    <row r="887" ht="12.75">
      <c r="A887" s="5"/>
    </row>
    <row r="888" ht="12.75">
      <c r="A888" s="5"/>
    </row>
    <row r="889" ht="12.75">
      <c r="A889" s="5"/>
    </row>
    <row r="890" ht="12.75">
      <c r="A890" s="5"/>
    </row>
    <row r="891" ht="12.75">
      <c r="A891" s="5"/>
    </row>
    <row r="892" ht="12.75">
      <c r="A892" s="5"/>
    </row>
    <row r="893" ht="12.75">
      <c r="A893" s="5"/>
    </row>
    <row r="894" ht="12.75">
      <c r="A894" s="5"/>
    </row>
    <row r="895" ht="12.75">
      <c r="A895" s="5"/>
    </row>
    <row r="896" ht="12.75">
      <c r="A896" s="5"/>
    </row>
    <row r="897" ht="12.75">
      <c r="A897" s="5"/>
    </row>
    <row r="898" ht="12.75">
      <c r="A898" s="5"/>
    </row>
    <row r="899" ht="12.75">
      <c r="A899" s="5"/>
    </row>
    <row r="900" ht="12.75">
      <c r="A900" s="5"/>
    </row>
    <row r="901" ht="12.75">
      <c r="A901" s="5"/>
    </row>
    <row r="902" ht="12.75">
      <c r="A902" s="5"/>
    </row>
    <row r="903" ht="12.75">
      <c r="A903" s="5"/>
    </row>
    <row r="904" ht="12.75">
      <c r="A904" s="5"/>
    </row>
    <row r="905" ht="12.75">
      <c r="A905" s="5"/>
    </row>
    <row r="906" ht="12.75">
      <c r="A906" s="5"/>
    </row>
    <row r="907" ht="12.75">
      <c r="A907" s="5"/>
    </row>
    <row r="908" ht="12.75">
      <c r="A908" s="5"/>
    </row>
    <row r="909" ht="12.75">
      <c r="A909" s="5"/>
    </row>
    <row r="910" ht="12.75">
      <c r="A910" s="5"/>
    </row>
    <row r="911" ht="12.75">
      <c r="A911" s="5"/>
    </row>
    <row r="912" ht="12.75">
      <c r="A912" s="5"/>
    </row>
    <row r="913" ht="12.75">
      <c r="A913" s="5"/>
    </row>
    <row r="914" ht="12.75">
      <c r="A914" s="5"/>
    </row>
    <row r="915" ht="12.75">
      <c r="A915" s="5"/>
    </row>
    <row r="916" ht="12.75">
      <c r="A916" s="5"/>
    </row>
    <row r="917" ht="12.75">
      <c r="A917" s="5"/>
    </row>
    <row r="918" ht="12.75">
      <c r="A918" s="5"/>
    </row>
    <row r="919" ht="12.75">
      <c r="A919" s="5"/>
    </row>
    <row r="920" ht="12.75">
      <c r="A920" s="5"/>
    </row>
    <row r="921" ht="12.75">
      <c r="A921" s="5"/>
    </row>
    <row r="922" ht="12.75">
      <c r="A922" s="5"/>
    </row>
    <row r="923" ht="12.75">
      <c r="A923" s="5"/>
    </row>
    <row r="924" ht="12.75">
      <c r="A924" s="5"/>
    </row>
    <row r="925" ht="12.75">
      <c r="A925" s="5"/>
    </row>
    <row r="926" ht="12.75">
      <c r="A926" s="5"/>
    </row>
    <row r="927" ht="12.75">
      <c r="A927" s="5"/>
    </row>
    <row r="928" ht="12.75">
      <c r="A928" s="5"/>
    </row>
    <row r="929" ht="12.75">
      <c r="A929" s="5"/>
    </row>
    <row r="930" ht="12.75">
      <c r="A930" s="5"/>
    </row>
    <row r="931" ht="12.75">
      <c r="A931" s="5"/>
    </row>
    <row r="932" ht="12.75">
      <c r="A932" s="5"/>
    </row>
    <row r="933" ht="12.75">
      <c r="A933" s="5"/>
    </row>
  </sheetData>
  <sheetProtection/>
  <mergeCells count="20">
    <mergeCell ref="C8:E8"/>
    <mergeCell ref="M8:M11"/>
    <mergeCell ref="K9:L9"/>
    <mergeCell ref="B129:C129"/>
    <mergeCell ref="C9:C11"/>
    <mergeCell ref="F8:L8"/>
    <mergeCell ref="B9:B11"/>
    <mergeCell ref="E10:E11"/>
    <mergeCell ref="G129:J129"/>
    <mergeCell ref="I10:I11"/>
    <mergeCell ref="A9:A11"/>
    <mergeCell ref="D9:E9"/>
    <mergeCell ref="D10:D11"/>
    <mergeCell ref="A6:M6"/>
    <mergeCell ref="F9:F11"/>
    <mergeCell ref="G9:G11"/>
    <mergeCell ref="H9:I9"/>
    <mergeCell ref="J9:J11"/>
    <mergeCell ref="H10:H11"/>
    <mergeCell ref="K10:K11"/>
  </mergeCells>
  <printOptions horizontalCentered="1"/>
  <pageMargins left="0.1968503937007874" right="0.1968503937007874" top="0.67" bottom="0.4" header="0.3" footer="0.19"/>
  <pageSetup fitToHeight="0" fitToWidth="1" horizontalDpi="600" verticalDpi="600" orientation="landscape" paperSize="9" scale="64" r:id="rId1"/>
  <headerFooter alignWithMargins="0">
    <oddFooter>&amp;CСтраница &amp;P</oddFooter>
  </headerFooter>
  <rowBreaks count="4" manualBreakCount="4">
    <brk id="70" max="12" man="1"/>
    <brk id="85" max="12" man="1"/>
    <brk id="99" max="12" man="1"/>
    <brk id="12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2014-08-29T10:39:47Z</cp:lastPrinted>
  <dcterms:created xsi:type="dcterms:W3CDTF">2002-12-20T15:22:07Z</dcterms:created>
  <dcterms:modified xsi:type="dcterms:W3CDTF">2014-08-29T12:35:34Z</dcterms:modified>
  <cp:category/>
  <cp:version/>
  <cp:contentType/>
  <cp:contentStatus/>
</cp:coreProperties>
</file>