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'Лист1'!$9:$13</definedName>
    <definedName name="_xlnm.Print_Area" localSheetId="0">'Лист1'!$A$1:$M$137</definedName>
  </definedNames>
  <calcPr fullCalcOnLoad="1"/>
</workbook>
</file>

<file path=xl/sharedStrings.xml><?xml version="1.0" encoding="utf-8"?>
<sst xmlns="http://schemas.openxmlformats.org/spreadsheetml/2006/main" count="228" uniqueCount="208">
  <si>
    <t>110205</t>
  </si>
  <si>
    <t>Школи естетичного виховання дітей</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</si>
  <si>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</si>
  <si>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</si>
  <si>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</si>
  <si>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</si>
  <si>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</si>
  <si>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</si>
  <si>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</si>
  <si>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</si>
  <si>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</si>
  <si>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</si>
  <si>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</si>
  <si>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</si>
  <si>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Кінематографія</t>
  </si>
  <si>
    <t>Інші культурно-освітні заклади та заходи</t>
  </si>
  <si>
    <t>130107</t>
  </si>
  <si>
    <t>130204</t>
  </si>
  <si>
    <t>120000</t>
  </si>
  <si>
    <t>110201</t>
  </si>
  <si>
    <t>110202</t>
  </si>
  <si>
    <t>110300</t>
  </si>
  <si>
    <t>250404</t>
  </si>
  <si>
    <t>110204</t>
  </si>
  <si>
    <t>110502</t>
  </si>
  <si>
    <t>Телебачення і радіомовлення</t>
  </si>
  <si>
    <t>Органи  місцевого самоврядування</t>
  </si>
  <si>
    <t>120100</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</si>
  <si>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</si>
  <si>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</si>
  <si>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</si>
  <si>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</si>
  <si>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</si>
  <si>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</si>
  <si>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Засоби масової інформаціїї</t>
  </si>
  <si>
    <t>120201</t>
  </si>
  <si>
    <t>080000</t>
  </si>
  <si>
    <t>Охорона здров"я</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</si>
  <si>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</si>
  <si>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</si>
  <si>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</si>
  <si>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</si>
  <si>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</si>
  <si>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</si>
  <si>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</si>
  <si>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</si>
  <si>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</si>
  <si>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</si>
  <si>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</si>
  <si>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070000</t>
  </si>
  <si>
    <t>070201</t>
  </si>
  <si>
    <t>070401</t>
  </si>
  <si>
    <t>070802</t>
  </si>
  <si>
    <t>070804</t>
  </si>
  <si>
    <t>070805</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</si>
  <si>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</si>
  <si>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</si>
  <si>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</si>
  <si>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</si>
  <si>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</si>
  <si>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</si>
  <si>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</si>
  <si>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</si>
  <si>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</si>
  <si>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</si>
  <si>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</si>
  <si>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</si>
  <si>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</si>
  <si>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</si>
  <si>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</si>
  <si>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</si>
  <si>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</si>
  <si>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</si>
  <si>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</si>
  <si>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</si>
  <si>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</si>
  <si>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</si>
  <si>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</si>
  <si>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</si>
  <si>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</si>
  <si>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</si>
  <si>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</si>
  <si>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</si>
  <si>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</si>
  <si>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</si>
  <si>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070303</t>
  </si>
  <si>
    <t>до рішення районної ради</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</si>
  <si>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</si>
  <si>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</si>
  <si>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</si>
  <si>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</si>
  <si>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</si>
  <si>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</si>
  <si>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</si>
  <si>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</si>
  <si>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</si>
  <si>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</si>
  <si>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</si>
  <si>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</si>
  <si>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</si>
  <si>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</si>
  <si>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</si>
  <si>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</si>
  <si>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</si>
  <si>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</si>
  <si>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</si>
  <si>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</si>
  <si>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</si>
  <si>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</si>
  <si>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</si>
  <si>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</si>
  <si>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</si>
  <si>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</si>
  <si>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</si>
  <si>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</si>
  <si>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</si>
  <si>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</si>
  <si>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</si>
  <si>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</si>
  <si>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</si>
  <si>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</si>
  <si>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</si>
  <si>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</si>
  <si>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</si>
  <si>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</si>
  <si>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</si>
  <si>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t>
  </si>
  <si>
    <t>Витрати на поховання учасників бойових дій та інвалідів війни - за рахунок субвенції з обласного бюджету</t>
  </si>
  <si>
    <t>090215</t>
  </si>
  <si>
    <t>090216</t>
  </si>
  <si>
    <t>Код тимчасової класифікації видатків та кредитування місцевих бюджетів</t>
  </si>
  <si>
    <t>010116</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</si>
  <si>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</si>
  <si>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</si>
  <si>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</si>
  <si>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</si>
  <si>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</si>
  <si>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</si>
  <si>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010000</t>
  </si>
  <si>
    <t>Державне управління</t>
  </si>
  <si>
    <t>080300</t>
  </si>
  <si>
    <t>080600</t>
  </si>
  <si>
    <t>Засоби масової інформації</t>
  </si>
  <si>
    <t>Утримання та навчально-тренувальна робота дитячо-юнацьких спортивних шкіл</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</si>
  <si>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</si>
  <si>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</si>
  <si>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Інші видатки</t>
  </si>
  <si>
    <t>Поліклініки і амбулаторії ( крім спеціалізованих поліклінік та загальних і спеціалізованих стамотологічних поліклінік)</t>
  </si>
  <si>
    <t>Фельшерсько-акушеські пункти</t>
  </si>
  <si>
    <t>Лікарні</t>
  </si>
  <si>
    <t>Транспорт, дорожнє господарство, зв'язок,телекомунікації та інформатика</t>
  </si>
  <si>
    <t>170102</t>
  </si>
  <si>
    <t>Компенсаційні виплати на пільговий проїзд автомобільним транспортом окремим категоріям громадян - за рахунок субвенції з державного бюджету</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</si>
  <si>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</si>
  <si>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</si>
  <si>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 xml:space="preserve">Разом </t>
  </si>
  <si>
    <t>Утримання апарату управління громадських фізкультурно - спортивних організацій  ФСТ "Колос"</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</si>
  <si>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</si>
  <si>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</si>
  <si>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Фінансова підтримка громадський організацій інвалідів і ветеранів</t>
  </si>
  <si>
    <t>130115</t>
  </si>
  <si>
    <t xml:space="preserve">Центри "Спорт для всіх" та заходи з фізичної культури </t>
  </si>
  <si>
    <t>Методична робота, інші заходи у сфері народної освіти</t>
  </si>
  <si>
    <t>Групи  централізованого господарського обслуговування</t>
  </si>
  <si>
    <t>Позашкільні заклади освіти, заходи із позашкільної роботи з  дітьми</t>
  </si>
  <si>
    <t>Періодичні видання (газети та журнали)</t>
  </si>
  <si>
    <t>Централізовані  бухгалтерії обласних, міських, районних відділів освіти</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</si>
  <si>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</si>
  <si>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</si>
  <si>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Територіальні центри соціального обслуговування (надання соціальних послуг)</t>
  </si>
  <si>
    <t>Видатки, не віднесені до основних груп</t>
  </si>
  <si>
    <t>091206</t>
  </si>
  <si>
    <t>Центри соціальної реабілітації інвалідів, центри професійної реабілітації інвалідів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</si>
  <si>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</si>
  <si>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</si>
  <si>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</si>
  <si>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</si>
  <si>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Уточнений обсяг видатків районного бюджету на 2012 рік за тимчасовою класифікацією видатків та кредитування місцевих бюджетів</t>
  </si>
  <si>
    <t>250380</t>
  </si>
  <si>
    <t>Інші субвенції</t>
  </si>
  <si>
    <t>070806</t>
  </si>
  <si>
    <t>Інші заклади освіти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</si>
  <si>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</si>
  <si>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</si>
  <si>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250382</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</si>
  <si>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</si>
  <si>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Загальноосвітні школи ( вт.ч. школа-дитячий садок, інтернат при школі), спеціалізовані школи, ліцей, гімназії, колегіуми</t>
  </si>
  <si>
    <t>в тому числі за рахунок субвенції з державного бюджету</t>
  </si>
  <si>
    <t>в тому числі:</t>
  </si>
  <si>
    <t>за рахунок субвенції з обласного бюджету</t>
  </si>
  <si>
    <t xml:space="preserve">Допомога на догляд за інвалідом І чи ІІ групи внаслідок психічного розладу </t>
  </si>
  <si>
    <t>250319</t>
  </si>
  <si>
    <t>Додаткова дотація з державного бюджету місцевим бюджетам на оплату праці працівників бюджетних установ</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</si>
  <si>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</si>
  <si>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</si>
  <si>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Цільові фонди</t>
  </si>
  <si>
    <t>Охорона та раціональне використання природних ресурсів</t>
  </si>
  <si>
    <t>Начальник фінансового управління райдержадміністрації</t>
  </si>
  <si>
    <t>С.В.Євдощенко</t>
  </si>
  <si>
    <t>250353</t>
  </si>
  <si>
    <t>Субвенція на проведення видатків місцевих бюджетів, що не враховуються при визначенні обсягу міжбюджетних трансфертів</t>
  </si>
  <si>
    <t>за рахунок додаткової дотації з державного бюджету</t>
  </si>
  <si>
    <t>Додаток 7</t>
  </si>
  <si>
    <t>080800</t>
  </si>
  <si>
    <t>Центри первинної медичної (медико-санітарної) допомоги</t>
  </si>
  <si>
    <t>Інші послуги, пов"язані з економічною діяльністю</t>
  </si>
  <si>
    <t xml:space="preserve">Програма стабілізації та соціально-економічного розвитку територій </t>
  </si>
  <si>
    <t xml:space="preserve"> 29.11.2012  №1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</si>
</sst>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39">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2"/>
      <name val="Times New Roman Cyr"/>
      <family val="0"/>
    </font>
    <font>
      <b/>
      <sz val="12"/>
      <color indexed="8"/>
      <name val="Times New Roman"/>
      <family val="1"/>
    </font>
    <font>
      <b/>
      <sz val="14"/>
      <name val="Times New Roman Cyr"/>
      <family val="0"/>
    </font>
    <font>
      <sz val="12"/>
      <name val="Times New Roman CYR"/>
      <family val="0"/>
    </font>
    <font>
      <sz val="14"/>
      <name val="Arial Cyr"/>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name val="Arial Cyr"/>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medium"/>
      <top style="medium"/>
      <bottom style="thin"/>
    </border>
    <border>
      <left style="thin"/>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2" borderId="0" applyNumberFormat="0" applyBorder="0" applyAlignment="0" applyProtection="0"/>
    <xf numFmtId="0" fontId="37" fillId="5" borderId="0" applyNumberFormat="0" applyBorder="0" applyAlignment="0" applyProtection="0"/>
    <xf numFmtId="0" fontId="37" fillId="3"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3" borderId="0" applyNumberFormat="0" applyBorder="0" applyAlignment="0" applyProtection="0"/>
    <xf numFmtId="0" fontId="36" fillId="10"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6" borderId="0" applyNumberFormat="0" applyBorder="0" applyAlignment="0" applyProtection="0"/>
    <xf numFmtId="0" fontId="36" fillId="10" borderId="0" applyNumberFormat="0" applyBorder="0" applyAlignment="0" applyProtection="0"/>
    <xf numFmtId="0" fontId="36" fillId="3"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0" borderId="0" applyNumberFormat="0" applyBorder="0" applyAlignment="0" applyProtection="0"/>
    <xf numFmtId="0" fontId="36" fillId="14" borderId="0" applyNumberFormat="0" applyBorder="0" applyAlignment="0" applyProtection="0"/>
    <xf numFmtId="0" fontId="28" fillId="3" borderId="1" applyNumberFormat="0" applyAlignment="0" applyProtection="0"/>
    <xf numFmtId="0" fontId="29" fillId="2" borderId="2" applyNumberFormat="0" applyAlignment="0" applyProtection="0"/>
    <xf numFmtId="0" fontId="30"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35" fillId="0" borderId="6" applyNumberFormat="0" applyFill="0" applyAlignment="0" applyProtection="0"/>
    <xf numFmtId="0" fontId="32" fillId="15" borderId="7" applyNumberFormat="0" applyAlignment="0" applyProtection="0"/>
    <xf numFmtId="0" fontId="21" fillId="0" borderId="0" applyNumberFormat="0" applyFill="0" applyBorder="0" applyAlignment="0" applyProtection="0"/>
    <xf numFmtId="0" fontId="27" fillId="8" borderId="0" applyNumberFormat="0" applyBorder="0" applyAlignment="0" applyProtection="0"/>
    <xf numFmtId="0" fontId="20" fillId="0" borderId="0">
      <alignment/>
      <protection/>
    </xf>
    <xf numFmtId="0" fontId="6" fillId="0" borderId="0" applyNumberFormat="0" applyFill="0" applyBorder="0" applyAlignment="0" applyProtection="0"/>
    <xf numFmtId="0" fontId="26" fillId="16" borderId="0" applyNumberFormat="0" applyBorder="0" applyAlignment="0" applyProtection="0"/>
    <xf numFmtId="0" fontId="34"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5" fillId="17" borderId="0" applyNumberFormat="0" applyBorder="0" applyAlignment="0" applyProtection="0"/>
  </cellStyleXfs>
  <cellXfs count="111">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13"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174" fontId="11" fillId="0" borderId="0" xfId="0" applyNumberFormat="1" applyFont="1" applyAlignment="1">
      <alignment vertical="justify"/>
    </xf>
    <xf numFmtId="0" fontId="9" fillId="0" borderId="0" xfId="0" applyFont="1" applyAlignment="1">
      <alignment horizontal="left" vertical="justify" wrapText="1"/>
    </xf>
    <xf numFmtId="0" fontId="15" fillId="0" borderId="0" xfId="0" applyNumberFormat="1" applyFont="1" applyBorder="1" applyAlignment="1" applyProtection="1">
      <alignment horizontal="left" vertical="center"/>
      <protection locked="0"/>
    </xf>
    <xf numFmtId="0" fontId="15" fillId="0" borderId="0" xfId="0" applyFont="1" applyAlignment="1" applyProtection="1">
      <alignment horizontal="left" wrapText="1"/>
      <protection locked="0"/>
    </xf>
    <xf numFmtId="0" fontId="16" fillId="0" borderId="0" xfId="0" applyFont="1" applyAlignment="1" applyProtection="1">
      <alignment horizontal="left" wrapText="1"/>
      <protection locked="0"/>
    </xf>
    <xf numFmtId="0" fontId="15" fillId="0" borderId="0" xfId="0" applyFont="1" applyAlignment="1" applyProtection="1">
      <alignment horizontal="left" vertical="justify" wrapText="1"/>
      <protection locked="0"/>
    </xf>
    <xf numFmtId="0" fontId="15" fillId="0" borderId="0" xfId="0" applyFont="1" applyAlignment="1" applyProtection="1">
      <alignment horizontal="left"/>
      <protection locked="0"/>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6" fillId="0" borderId="0" xfId="0" applyNumberFormat="1" applyFont="1" applyAlignment="1">
      <alignment horizontal="center"/>
    </xf>
    <xf numFmtId="49" fontId="15" fillId="0" borderId="0" xfId="0" applyNumberFormat="1" applyFont="1" applyAlignment="1">
      <alignment horizontal="center"/>
    </xf>
    <xf numFmtId="49" fontId="15" fillId="0" borderId="0" xfId="0" applyNumberFormat="1" applyFont="1" applyAlignment="1">
      <alignment horizontal="center" vertical="justify"/>
    </xf>
    <xf numFmtId="49" fontId="10" fillId="0" borderId="0" xfId="0" applyNumberFormat="1" applyFont="1" applyAlignment="1">
      <alignment horizontal="center" wrapText="1"/>
    </xf>
    <xf numFmtId="49" fontId="11" fillId="0" borderId="0" xfId="0" applyNumberFormat="1" applyFont="1" applyAlignment="1">
      <alignment horizontal="center" vertical="top" wrapText="1"/>
    </xf>
    <xf numFmtId="0" fontId="14" fillId="0" borderId="0" xfId="0" applyFont="1" applyAlignment="1">
      <alignment/>
    </xf>
    <xf numFmtId="49" fontId="9" fillId="0" borderId="0" xfId="0" applyNumberFormat="1" applyFont="1" applyAlignment="1">
      <alignment horizontal="center" vertical="justify" wrapText="1"/>
    </xf>
    <xf numFmtId="182" fontId="9" fillId="0" borderId="0" xfId="0" applyNumberFormat="1" applyFont="1" applyAlignment="1">
      <alignment vertical="justify"/>
    </xf>
    <xf numFmtId="49" fontId="4" fillId="0" borderId="14" xfId="0" applyNumberFormat="1" applyFont="1" applyBorder="1" applyAlignment="1" applyProtection="1">
      <alignment horizontal="center" vertical="center" wrapText="1"/>
      <protection locked="0"/>
    </xf>
    <xf numFmtId="0" fontId="12" fillId="0" borderId="0" xfId="0" applyFont="1" applyAlignment="1" applyProtection="1">
      <alignment horizontal="left" vertical="justify"/>
      <protection locked="0"/>
    </xf>
    <xf numFmtId="49" fontId="17" fillId="0" borderId="0" xfId="0" applyNumberFormat="1" applyFont="1" applyBorder="1" applyAlignment="1" applyProtection="1">
      <alignment horizontal="center" vertical="justify"/>
      <protection locked="0"/>
    </xf>
    <xf numFmtId="0" fontId="13" fillId="0" borderId="0" xfId="0" applyFont="1" applyAlignment="1" applyProtection="1">
      <alignment horizontal="left" vertical="justify" wrapText="1"/>
      <protection locked="0"/>
    </xf>
    <xf numFmtId="49" fontId="13" fillId="0" borderId="0" xfId="0" applyNumberFormat="1" applyFont="1" applyAlignment="1">
      <alignment horizontal="center" wrapText="1"/>
    </xf>
    <xf numFmtId="49" fontId="18" fillId="0" borderId="0" xfId="0" applyNumberFormat="1" applyFont="1" applyAlignment="1">
      <alignment horizontal="center"/>
    </xf>
    <xf numFmtId="0" fontId="18" fillId="0" borderId="0" xfId="0" applyNumberFormat="1" applyFont="1" applyBorder="1" applyAlignment="1" applyProtection="1">
      <alignment horizontal="left" vertical="center"/>
      <protection locked="0"/>
    </xf>
    <xf numFmtId="0" fontId="18" fillId="0" borderId="0" xfId="0" applyFont="1" applyAlignment="1" applyProtection="1">
      <alignment horizontal="left" wrapText="1"/>
      <protection locked="0"/>
    </xf>
    <xf numFmtId="173" fontId="10" fillId="0" borderId="0" xfId="0" applyNumberFormat="1" applyFont="1" applyAlignment="1" applyProtection="1">
      <alignment horizontal="center" vertical="justify"/>
      <protection locked="0"/>
    </xf>
    <xf numFmtId="0" fontId="13" fillId="0" borderId="0" xfId="0" applyFont="1" applyAlignment="1">
      <alignment horizontal="left" vertical="justify" wrapText="1"/>
    </xf>
    <xf numFmtId="0" fontId="15" fillId="0" borderId="0" xfId="0" applyFont="1" applyAlignment="1" applyProtection="1">
      <alignment horizontal="left" vertical="justify" wrapText="1"/>
      <protection locked="0"/>
    </xf>
    <xf numFmtId="173" fontId="9" fillId="0" borderId="0" xfId="0" applyNumberFormat="1" applyFont="1" applyAlignment="1" applyProtection="1">
      <alignment horizontal="right" vertical="justify"/>
      <protection locked="0"/>
    </xf>
    <xf numFmtId="0" fontId="13" fillId="0" borderId="0" xfId="0" applyFont="1" applyAlignment="1">
      <alignment vertical="justify" wrapText="1"/>
    </xf>
    <xf numFmtId="49" fontId="15" fillId="0" borderId="0" xfId="0" applyNumberFormat="1" applyFont="1" applyAlignment="1">
      <alignment horizontal="center" vertical="justify"/>
    </xf>
    <xf numFmtId="0" fontId="9" fillId="0" borderId="0" xfId="0" applyFont="1" applyFill="1" applyAlignment="1">
      <alignment horizontal="justify" vertical="justify" wrapText="1"/>
    </xf>
    <xf numFmtId="49" fontId="9" fillId="0" borderId="0" xfId="0" applyNumberFormat="1" applyFont="1" applyAlignment="1" applyProtection="1">
      <alignment horizontal="center" vertical="justify"/>
      <protection locked="0"/>
    </xf>
    <xf numFmtId="0" fontId="10" fillId="0" borderId="0" xfId="0" applyFont="1" applyAlignment="1">
      <alignment vertical="justify" wrapText="1"/>
    </xf>
    <xf numFmtId="174" fontId="10" fillId="0" borderId="0" xfId="0" applyNumberFormat="1" applyFont="1" applyAlignment="1">
      <alignment/>
    </xf>
    <xf numFmtId="174" fontId="9" fillId="0" borderId="0" xfId="0" applyNumberFormat="1" applyFont="1" applyAlignment="1">
      <alignment vertical="top"/>
    </xf>
    <xf numFmtId="174" fontId="13" fillId="0" borderId="0" xfId="0" applyNumberFormat="1" applyFont="1" applyAlignment="1" applyProtection="1">
      <alignment horizontal="left" vertical="justify"/>
      <protection locked="0"/>
    </xf>
    <xf numFmtId="0" fontId="0" fillId="0" borderId="0" xfId="0" applyFont="1" applyAlignment="1">
      <alignment/>
    </xf>
    <xf numFmtId="182" fontId="10" fillId="0" borderId="0" xfId="0" applyNumberFormat="1" applyFont="1" applyAlignment="1">
      <alignment vertical="justify"/>
    </xf>
    <xf numFmtId="0" fontId="9" fillId="0" borderId="0" xfId="0" applyFont="1" applyAlignment="1">
      <alignment vertical="top"/>
    </xf>
    <xf numFmtId="0" fontId="19" fillId="0" borderId="0" xfId="0" applyFont="1" applyBorder="1" applyAlignment="1">
      <alignment vertical="justify" wrapText="1"/>
    </xf>
    <xf numFmtId="0" fontId="9" fillId="0" borderId="0" xfId="53" applyFont="1" applyBorder="1" applyAlignment="1">
      <alignment vertical="center" wrapText="1"/>
      <protection/>
    </xf>
    <xf numFmtId="0" fontId="15" fillId="0" borderId="0" xfId="0" applyFont="1" applyAlignment="1" applyProtection="1">
      <alignment horizontal="left" vertical="top" wrapText="1"/>
      <protection locked="0"/>
    </xf>
    <xf numFmtId="49" fontId="15" fillId="0" borderId="0" xfId="0" applyNumberFormat="1" applyFont="1" applyAlignment="1">
      <alignment horizontal="center" vertical="top"/>
    </xf>
    <xf numFmtId="0" fontId="9" fillId="0" borderId="0" xfId="0" applyFont="1" applyAlignment="1" applyProtection="1">
      <alignment horizontal="left" wrapText="1"/>
      <protection locked="0"/>
    </xf>
    <xf numFmtId="0" fontId="9" fillId="0" borderId="0" xfId="53" applyFont="1" applyBorder="1" applyAlignment="1">
      <alignment vertical="top" wrapText="1"/>
      <protection/>
    </xf>
    <xf numFmtId="182" fontId="10" fillId="0" borderId="0" xfId="0" applyNumberFormat="1" applyFont="1" applyAlignment="1">
      <alignment horizontal="right" vertical="top"/>
    </xf>
    <xf numFmtId="174" fontId="10" fillId="0" borderId="0" xfId="0" applyNumberFormat="1" applyFont="1" applyAlignment="1">
      <alignment horizontal="right" vertical="top"/>
    </xf>
    <xf numFmtId="174" fontId="9" fillId="0" borderId="0" xfId="0" applyNumberFormat="1" applyFont="1" applyAlignment="1">
      <alignment horizontal="right" vertical="top"/>
    </xf>
    <xf numFmtId="0" fontId="9" fillId="0" borderId="0" xfId="0" applyFont="1" applyAlignment="1">
      <alignment vertical="justify" wrapText="1"/>
    </xf>
    <xf numFmtId="0" fontId="15" fillId="0" borderId="0" xfId="0" applyNumberFormat="1" applyFont="1" applyBorder="1" applyAlignment="1" applyProtection="1">
      <alignment horizontal="left" vertical="top" wrapText="1"/>
      <protection locked="0"/>
    </xf>
    <xf numFmtId="0" fontId="38" fillId="0" borderId="0" xfId="0" applyFont="1" applyAlignment="1">
      <alignment/>
    </xf>
    <xf numFmtId="49" fontId="9" fillId="0" borderId="15" xfId="0" applyNumberFormat="1" applyFont="1" applyBorder="1" applyAlignment="1">
      <alignment horizontal="center" vertical="center" wrapText="1"/>
    </xf>
    <xf numFmtId="49" fontId="9" fillId="0" borderId="16" xfId="0" applyNumberFormat="1" applyFont="1" applyBorder="1" applyAlignment="1">
      <alignment horizontal="center" vertical="center" wrapText="1"/>
    </xf>
    <xf numFmtId="49" fontId="9" fillId="0" borderId="17" xfId="0" applyNumberFormat="1" applyFont="1" applyBorder="1" applyAlignment="1">
      <alignment horizontal="center" vertical="center" wrapText="1"/>
    </xf>
    <xf numFmtId="0" fontId="14" fillId="0" borderId="0" xfId="0" applyFont="1" applyAlignment="1">
      <alignment horizontal="left" wrapText="1"/>
    </xf>
    <xf numFmtId="49" fontId="3" fillId="0" borderId="18" xfId="0" applyNumberFormat="1" applyFont="1" applyBorder="1" applyAlignment="1" applyProtection="1">
      <alignment horizontal="center" vertical="center" wrapText="1"/>
      <protection locked="0"/>
    </xf>
    <xf numFmtId="49" fontId="3" fillId="0" borderId="19" xfId="0" applyNumberFormat="1" applyFont="1" applyBorder="1" applyAlignment="1" applyProtection="1">
      <alignment horizontal="center" vertical="center" wrapText="1"/>
      <protection locked="0"/>
    </xf>
    <xf numFmtId="49" fontId="3" fillId="0" borderId="14" xfId="0" applyNumberFormat="1" applyFont="1" applyBorder="1" applyAlignment="1" applyProtection="1">
      <alignment horizontal="center" vertical="center" wrapText="1"/>
      <protection locked="0"/>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49" fontId="4" fillId="0" borderId="23"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49" fontId="4" fillId="0" borderId="17" xfId="0" applyNumberFormat="1" applyFont="1" applyBorder="1" applyAlignment="1" applyProtection="1">
      <alignment horizontal="center" vertical="center" wrapText="1"/>
      <protection locked="0"/>
    </xf>
    <xf numFmtId="49" fontId="4" fillId="0" borderId="18"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25" xfId="0" applyNumberFormat="1" applyFont="1" applyBorder="1" applyAlignment="1" applyProtection="1">
      <alignment horizontal="center" vertical="center" wrapText="1"/>
      <protection locked="0"/>
    </xf>
    <xf numFmtId="49" fontId="4" fillId="0" borderId="25" xfId="0" applyNumberFormat="1" applyFont="1" applyBorder="1" applyAlignment="1" applyProtection="1">
      <alignment horizontal="center" vertical="center" wrapText="1"/>
      <protection locked="0"/>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0" fillId="0" borderId="21" xfId="0"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N940"/>
  <sheetViews>
    <sheetView tabSelected="1" view="pageBreakPreview" zoomScale="75" zoomScaleSheetLayoutView="75" workbookViewId="0" topLeftCell="A1">
      <selection activeCell="B3" sqref="B3"/>
    </sheetView>
  </sheetViews>
  <sheetFormatPr defaultColWidth="9.00390625" defaultRowHeight="12.75"/>
  <cols>
    <col min="1" max="1" width="13.00390625" style="1" customWidth="1"/>
    <col min="2" max="2" width="60.875" style="1" customWidth="1"/>
    <col min="3" max="3" width="17.375" style="1" customWidth="1"/>
    <col min="4" max="4" width="13.25390625" style="1" customWidth="1"/>
    <col min="5" max="5" width="12.125" style="1" customWidth="1"/>
    <col min="6" max="6" width="14.00390625" style="1" customWidth="1"/>
    <col min="7" max="7" width="10.625" style="1" customWidth="1"/>
    <col min="8" max="8" width="12.125" style="1" customWidth="1"/>
    <col min="9" max="9" width="10.25390625" style="1" customWidth="1"/>
    <col min="10" max="10" width="12.625" style="1" customWidth="1"/>
    <col min="11" max="11" width="13.75390625" style="1" customWidth="1"/>
    <col min="12" max="12" width="14.75390625" style="1" customWidth="1"/>
    <col min="13" max="13" width="17.25390625" style="1" customWidth="1"/>
    <col min="14" max="14" width="12.625" style="1" customWidth="1"/>
    <col min="15" max="16384" width="9.125" style="1" customWidth="1"/>
  </cols>
  <sheetData>
    <row r="3" spans="9:13" ht="15.75">
      <c r="I3" s="8"/>
      <c r="J3" s="8"/>
      <c r="L3" s="8" t="s">
        <v>202</v>
      </c>
      <c r="M3" s="8"/>
    </row>
    <row r="4" spans="9:13" ht="15.75">
      <c r="I4" s="8"/>
      <c r="J4" s="8"/>
      <c r="L4" s="8" t="s">
        <v>86</v>
      </c>
      <c r="M4" s="8"/>
    </row>
    <row r="5" spans="9:13" ht="15.75">
      <c r="I5" s="8"/>
      <c r="J5" s="8"/>
      <c r="L5" s="8" t="s">
        <v>207</v>
      </c>
      <c r="M5" s="8"/>
    </row>
    <row r="6" spans="9:13" ht="15.75">
      <c r="I6" s="8"/>
      <c r="J6" s="8"/>
      <c r="L6" s="8"/>
      <c r="M6" s="8"/>
    </row>
    <row r="7" spans="1:13" ht="20.25">
      <c r="A7" s="102" t="s">
        <v>177</v>
      </c>
      <c r="B7" s="102"/>
      <c r="C7" s="102"/>
      <c r="D7" s="102"/>
      <c r="E7" s="102"/>
      <c r="F7" s="102"/>
      <c r="G7" s="102"/>
      <c r="H7" s="102"/>
      <c r="I7" s="102"/>
      <c r="J7" s="102"/>
      <c r="K7" s="102"/>
      <c r="L7" s="102"/>
      <c r="M7" s="102"/>
    </row>
    <row r="8" ht="13.5" thickBot="1">
      <c r="M8" s="1" t="s">
        <v>6</v>
      </c>
    </row>
    <row r="9" spans="1:13" ht="66.75" customHeight="1">
      <c r="A9" s="108" t="s">
        <v>130</v>
      </c>
      <c r="B9" s="86" t="s">
        <v>132</v>
      </c>
      <c r="C9" s="93" t="s">
        <v>29</v>
      </c>
      <c r="D9" s="107"/>
      <c r="E9" s="107"/>
      <c r="F9" s="93" t="s">
        <v>30</v>
      </c>
      <c r="G9" s="94"/>
      <c r="H9" s="94"/>
      <c r="I9" s="94"/>
      <c r="J9" s="94"/>
      <c r="K9" s="94"/>
      <c r="L9" s="95"/>
      <c r="M9" s="105" t="s">
        <v>155</v>
      </c>
    </row>
    <row r="10" spans="1:13" ht="12.75" customHeight="1">
      <c r="A10" s="109"/>
      <c r="B10" s="87"/>
      <c r="C10" s="90" t="s">
        <v>2</v>
      </c>
      <c r="D10" s="104" t="s">
        <v>3</v>
      </c>
      <c r="E10" s="104"/>
      <c r="F10" s="103" t="s">
        <v>2</v>
      </c>
      <c r="G10" s="104" t="s">
        <v>31</v>
      </c>
      <c r="H10" s="104" t="s">
        <v>3</v>
      </c>
      <c r="I10" s="104"/>
      <c r="J10" s="104" t="s">
        <v>32</v>
      </c>
      <c r="K10" s="96" t="s">
        <v>135</v>
      </c>
      <c r="L10" s="97"/>
      <c r="M10" s="106"/>
    </row>
    <row r="11" spans="1:13" ht="12.75" customHeight="1">
      <c r="A11" s="109"/>
      <c r="B11" s="87"/>
      <c r="C11" s="91"/>
      <c r="D11" s="100" t="s">
        <v>4</v>
      </c>
      <c r="E11" s="100" t="s">
        <v>5</v>
      </c>
      <c r="F11" s="103"/>
      <c r="G11" s="104"/>
      <c r="H11" s="100" t="s">
        <v>4</v>
      </c>
      <c r="I11" s="100" t="s">
        <v>5</v>
      </c>
      <c r="J11" s="104"/>
      <c r="K11" s="98" t="s">
        <v>136</v>
      </c>
      <c r="L11" s="51" t="s">
        <v>135</v>
      </c>
      <c r="M11" s="106"/>
    </row>
    <row r="12" spans="1:13" ht="137.25" customHeight="1">
      <c r="A12" s="110"/>
      <c r="B12" s="88"/>
      <c r="C12" s="92"/>
      <c r="D12" s="101"/>
      <c r="E12" s="101"/>
      <c r="F12" s="103"/>
      <c r="G12" s="104"/>
      <c r="H12" s="101"/>
      <c r="I12" s="101"/>
      <c r="J12" s="104"/>
      <c r="K12" s="99"/>
      <c r="L12" s="51" t="s">
        <v>137</v>
      </c>
      <c r="M12" s="106"/>
    </row>
    <row r="13" spans="1:13" ht="17.25" customHeight="1" thickBot="1">
      <c r="A13" s="3">
        <v>1</v>
      </c>
      <c r="B13" s="4">
        <v>2</v>
      </c>
      <c r="C13" s="2">
        <v>3</v>
      </c>
      <c r="D13" s="2">
        <v>4</v>
      </c>
      <c r="E13" s="2">
        <v>5</v>
      </c>
      <c r="F13" s="4">
        <v>6</v>
      </c>
      <c r="G13" s="4">
        <v>7</v>
      </c>
      <c r="H13" s="4">
        <v>8</v>
      </c>
      <c r="I13" s="4">
        <v>9</v>
      </c>
      <c r="J13" s="4">
        <v>10</v>
      </c>
      <c r="K13" s="23">
        <v>11</v>
      </c>
      <c r="L13" s="23">
        <v>12</v>
      </c>
      <c r="M13" s="5">
        <v>13</v>
      </c>
    </row>
    <row r="14" spans="1:13" ht="23.25" customHeight="1">
      <c r="A14" s="53" t="s">
        <v>138</v>
      </c>
      <c r="B14" s="52" t="s">
        <v>139</v>
      </c>
      <c r="C14" s="8"/>
      <c r="D14" s="8"/>
      <c r="E14" s="8"/>
      <c r="M14" s="27"/>
    </row>
    <row r="15" spans="1:13" ht="15.75">
      <c r="A15" s="40" t="s">
        <v>131</v>
      </c>
      <c r="B15" s="10" t="s">
        <v>26</v>
      </c>
      <c r="C15" s="25">
        <f>1034.2+5.707+2+10+10+2+34.5-2</f>
        <v>1096.4070000000002</v>
      </c>
      <c r="D15" s="25">
        <v>636</v>
      </c>
      <c r="E15" s="25">
        <f>80+10+34.5-2</f>
        <v>122.5</v>
      </c>
      <c r="F15" s="25">
        <f>G15+J15</f>
        <v>3.8</v>
      </c>
      <c r="G15" s="25">
        <v>1.8</v>
      </c>
      <c r="H15" s="25"/>
      <c r="I15" s="25"/>
      <c r="J15" s="20">
        <v>2</v>
      </c>
      <c r="K15" s="20">
        <v>2</v>
      </c>
      <c r="L15" s="25">
        <v>2</v>
      </c>
      <c r="M15" s="25">
        <f>C15+F15</f>
        <v>1100.207</v>
      </c>
    </row>
    <row r="16" spans="1:13" ht="18.75">
      <c r="A16" s="40"/>
      <c r="B16" s="70" t="s">
        <v>8</v>
      </c>
      <c r="C16" s="28">
        <f>C15</f>
        <v>1096.4070000000002</v>
      </c>
      <c r="D16" s="28">
        <f>D15</f>
        <v>636</v>
      </c>
      <c r="E16" s="28">
        <f>E15</f>
        <v>122.5</v>
      </c>
      <c r="F16" s="28">
        <f>G16+J16</f>
        <v>3.8</v>
      </c>
      <c r="G16" s="28">
        <f aca="true" t="shared" si="0" ref="G16:L16">G15</f>
        <v>1.8</v>
      </c>
      <c r="H16" s="28">
        <f t="shared" si="0"/>
        <v>0</v>
      </c>
      <c r="I16" s="28">
        <f t="shared" si="0"/>
        <v>0</v>
      </c>
      <c r="J16" s="28">
        <f>J15</f>
        <v>2</v>
      </c>
      <c r="K16" s="28">
        <f t="shared" si="0"/>
        <v>2</v>
      </c>
      <c r="L16" s="28">
        <f t="shared" si="0"/>
        <v>2</v>
      </c>
      <c r="M16" s="28">
        <f>F16+C16</f>
        <v>1100.207</v>
      </c>
    </row>
    <row r="17" spans="1:13" ht="18.75">
      <c r="A17" s="55" t="s">
        <v>49</v>
      </c>
      <c r="B17" s="24" t="s">
        <v>9</v>
      </c>
      <c r="C17" s="25"/>
      <c r="D17" s="25"/>
      <c r="E17" s="25"/>
      <c r="F17" s="71"/>
      <c r="G17" s="25"/>
      <c r="H17" s="25"/>
      <c r="I17" s="25"/>
      <c r="J17" s="25"/>
      <c r="K17" s="25"/>
      <c r="L17" s="25"/>
      <c r="M17" s="25">
        <f aca="true" t="shared" si="1" ref="M17:M85">F17+C17</f>
        <v>0</v>
      </c>
    </row>
    <row r="18" spans="1:13" ht="39" customHeight="1">
      <c r="A18" s="77" t="s">
        <v>50</v>
      </c>
      <c r="B18" s="76" t="s">
        <v>186</v>
      </c>
      <c r="C18" s="25">
        <f>39329.915+348-4.6+12.164+25.9+1.5+1207.635+105.911-30+273.6+39.347</f>
        <v>41309.372</v>
      </c>
      <c r="D18" s="25">
        <f>23894.487+255.6-3.4+1+884.27+233.4</f>
        <v>25265.357</v>
      </c>
      <c r="E18" s="25">
        <f>5083.205+300-384.1</f>
        <v>4999.105</v>
      </c>
      <c r="F18" s="25">
        <f>G18+J18</f>
        <v>365.768</v>
      </c>
      <c r="G18" s="25">
        <v>5.4</v>
      </c>
      <c r="H18" s="25"/>
      <c r="I18" s="25"/>
      <c r="J18" s="25">
        <f>150.5+69.668+20.5+68.4+30+16.8+4.5</f>
        <v>360.368</v>
      </c>
      <c r="K18" s="25">
        <f>150.5+69.668+20.5+68.4+30+16.8+4.5</f>
        <v>360.368</v>
      </c>
      <c r="L18" s="25">
        <f>133.5+69.668+20.5+68.4+30+16.8+4.5</f>
        <v>343.368</v>
      </c>
      <c r="M18" s="25">
        <f t="shared" si="1"/>
        <v>41675.14</v>
      </c>
    </row>
    <row r="19" spans="1:13" ht="33.75" customHeight="1">
      <c r="A19" s="45" t="s">
        <v>51</v>
      </c>
      <c r="B19" s="34" t="s">
        <v>164</v>
      </c>
      <c r="C19" s="25">
        <f>1533.604+2.616+1+1.26+3+64.839</f>
        <v>1606.319</v>
      </c>
      <c r="D19" s="25">
        <f>990.397+0.93+25.5</f>
        <v>1016.827</v>
      </c>
      <c r="E19" s="25">
        <f>109.465+11.5</f>
        <v>120.965</v>
      </c>
      <c r="F19" s="25">
        <f>G19+J19</f>
        <v>15</v>
      </c>
      <c r="G19" s="25">
        <v>15</v>
      </c>
      <c r="H19" s="25"/>
      <c r="I19" s="25"/>
      <c r="J19"/>
      <c r="K19"/>
      <c r="L19"/>
      <c r="M19" s="25">
        <f t="shared" si="1"/>
        <v>1621.319</v>
      </c>
    </row>
    <row r="20" spans="1:13" ht="15.75">
      <c r="A20" s="44" t="s">
        <v>52</v>
      </c>
      <c r="B20" s="35" t="s">
        <v>162</v>
      </c>
      <c r="C20" s="25">
        <f>1388.863+5-885.181+6.6+7.2</f>
        <v>522.4820000000001</v>
      </c>
      <c r="D20" s="25">
        <f>879.7-546.07+5.8</f>
        <v>339.43</v>
      </c>
      <c r="E20" s="25">
        <f>170.77-131.39-5.6</f>
        <v>33.78000000000002</v>
      </c>
      <c r="F20" s="25"/>
      <c r="G20" s="25"/>
      <c r="H20" s="25"/>
      <c r="I20" s="25"/>
      <c r="J20" s="25"/>
      <c r="K20" s="25"/>
      <c r="L20" s="25"/>
      <c r="M20" s="25">
        <f t="shared" si="1"/>
        <v>522.4820000000001</v>
      </c>
    </row>
    <row r="21" spans="1:13" ht="31.5">
      <c r="A21" s="45" t="s">
        <v>53</v>
      </c>
      <c r="B21" s="32" t="s">
        <v>166</v>
      </c>
      <c r="C21" s="25">
        <f>623.459-24.7-8.9+2.69-4.635+6.7</f>
        <v>594.614</v>
      </c>
      <c r="D21" s="25">
        <f>415.759-24.7-3.401-3.52</f>
        <v>384.13800000000003</v>
      </c>
      <c r="E21" s="25">
        <f>43.78+6.7</f>
        <v>50.480000000000004</v>
      </c>
      <c r="F21" s="25"/>
      <c r="G21" s="25"/>
      <c r="H21" s="25"/>
      <c r="I21" s="25"/>
      <c r="J21" s="25"/>
      <c r="K21" s="25"/>
      <c r="L21" s="25"/>
      <c r="M21" s="25">
        <f t="shared" si="1"/>
        <v>594.614</v>
      </c>
    </row>
    <row r="22" spans="1:13" ht="21" customHeight="1">
      <c r="A22" s="44" t="s">
        <v>54</v>
      </c>
      <c r="B22" s="32" t="s">
        <v>163</v>
      </c>
      <c r="C22" s="25">
        <f>412.528-12.8-4.4+1.595+2.285+4.635+6.016</f>
        <v>409.8590000000001</v>
      </c>
      <c r="D22" s="25">
        <f>269.98-12.8+1.68+3.401+1.63</f>
        <v>263.891</v>
      </c>
      <c r="E22" s="25"/>
      <c r="F22" s="25"/>
      <c r="G22" s="25"/>
      <c r="H22" s="25"/>
      <c r="I22" s="25"/>
      <c r="J22" s="25"/>
      <c r="K22" s="25"/>
      <c r="L22" s="25"/>
      <c r="M22" s="25">
        <f t="shared" si="1"/>
        <v>409.8590000000001</v>
      </c>
    </row>
    <row r="23" spans="1:13" ht="15.75">
      <c r="A23" s="44" t="s">
        <v>55</v>
      </c>
      <c r="B23" s="35" t="s">
        <v>56</v>
      </c>
      <c r="C23" s="25">
        <f>362.8+2.601+5.8+268-3.64</f>
        <v>635.561</v>
      </c>
      <c r="D23" s="25"/>
      <c r="E23" s="25"/>
      <c r="F23" s="25">
        <f>G23+J23</f>
        <v>0</v>
      </c>
      <c r="G23" s="25"/>
      <c r="H23" s="25"/>
      <c r="I23" s="25"/>
      <c r="J23"/>
      <c r="K23"/>
      <c r="L23"/>
      <c r="M23" s="25">
        <f t="shared" si="1"/>
        <v>635.561</v>
      </c>
    </row>
    <row r="24" spans="1:13" ht="15.75">
      <c r="A24" s="44" t="s">
        <v>180</v>
      </c>
      <c r="B24" s="35" t="s">
        <v>181</v>
      </c>
      <c r="C24" s="25">
        <f>887.101-37.7</f>
        <v>849.401</v>
      </c>
      <c r="D24" s="25">
        <f>547.48-26.8</f>
        <v>520.6800000000001</v>
      </c>
      <c r="E24" s="25">
        <f>131.39-0.5</f>
        <v>130.89</v>
      </c>
      <c r="F24" s="25"/>
      <c r="G24" s="25"/>
      <c r="H24" s="25"/>
      <c r="I24" s="25"/>
      <c r="J24"/>
      <c r="K24"/>
      <c r="L24"/>
      <c r="M24" s="25"/>
    </row>
    <row r="25" spans="1:13" ht="31.5">
      <c r="A25" s="45" t="s">
        <v>57</v>
      </c>
      <c r="B25" s="32" t="s">
        <v>116</v>
      </c>
      <c r="C25" s="25">
        <v>30.77</v>
      </c>
      <c r="D25" s="25"/>
      <c r="E25" s="25"/>
      <c r="F25" s="25"/>
      <c r="G25" s="25"/>
      <c r="H25" s="25"/>
      <c r="I25" s="25"/>
      <c r="J25" s="25"/>
      <c r="K25" s="25"/>
      <c r="L25" s="25"/>
      <c r="M25" s="25">
        <f t="shared" si="1"/>
        <v>30.77</v>
      </c>
    </row>
    <row r="26" spans="1:13" ht="31.5">
      <c r="A26" s="41" t="s">
        <v>85</v>
      </c>
      <c r="B26" s="18" t="s">
        <v>99</v>
      </c>
      <c r="C26" s="25">
        <f>245+11.7-5.555</f>
        <v>251.14499999999998</v>
      </c>
      <c r="D26" s="25"/>
      <c r="E26" s="25"/>
      <c r="F26" s="71"/>
      <c r="G26" s="25"/>
      <c r="H26" s="25"/>
      <c r="I26" s="25"/>
      <c r="J26" s="25"/>
      <c r="K26" s="25"/>
      <c r="L26" s="25"/>
      <c r="M26" s="25">
        <f t="shared" si="1"/>
        <v>251.14499999999998</v>
      </c>
    </row>
    <row r="27" spans="1:13" ht="15.75">
      <c r="A27" s="46"/>
      <c r="B27" s="9" t="s">
        <v>2</v>
      </c>
      <c r="C27" s="28">
        <f>C18+C19+C20+C21+C22+C23+C25+C26+C24</f>
        <v>46209.523</v>
      </c>
      <c r="D27" s="28">
        <f aca="true" t="shared" si="2" ref="D27:L27">D18+D19+D20+D21+D22+D23+D25+D26+D24</f>
        <v>27790.323</v>
      </c>
      <c r="E27" s="28">
        <f t="shared" si="2"/>
        <v>5335.219999999999</v>
      </c>
      <c r="F27" s="28">
        <f t="shared" si="2"/>
        <v>380.768</v>
      </c>
      <c r="G27" s="28">
        <f t="shared" si="2"/>
        <v>20.4</v>
      </c>
      <c r="H27" s="28">
        <f t="shared" si="2"/>
        <v>0</v>
      </c>
      <c r="I27" s="28">
        <f t="shared" si="2"/>
        <v>0</v>
      </c>
      <c r="J27" s="28">
        <f t="shared" si="2"/>
        <v>360.368</v>
      </c>
      <c r="K27" s="28">
        <f t="shared" si="2"/>
        <v>360.368</v>
      </c>
      <c r="L27" s="28">
        <f t="shared" si="2"/>
        <v>343.368</v>
      </c>
      <c r="M27" s="28">
        <f t="shared" si="1"/>
        <v>46590.291</v>
      </c>
    </row>
    <row r="28" spans="1:13" ht="18.75">
      <c r="A28" s="56" t="s">
        <v>36</v>
      </c>
      <c r="B28" s="57" t="s">
        <v>37</v>
      </c>
      <c r="C28" s="25"/>
      <c r="D28" s="25"/>
      <c r="E28" s="25"/>
      <c r="F28" s="71"/>
      <c r="G28" s="25"/>
      <c r="H28" s="25"/>
      <c r="I28" s="25"/>
      <c r="J28" s="25"/>
      <c r="K28" s="25"/>
      <c r="L28" s="25"/>
      <c r="M28" s="25">
        <f t="shared" si="1"/>
        <v>0</v>
      </c>
    </row>
    <row r="29" spans="1:13" ht="15.75">
      <c r="A29" s="44" t="s">
        <v>38</v>
      </c>
      <c r="B29" s="32" t="s">
        <v>149</v>
      </c>
      <c r="C29" s="25">
        <f>16537.9-102.9-37.3+49.942-365.45-297.431-96.448</f>
        <v>15688.312999999998</v>
      </c>
      <c r="D29" s="25">
        <f>8894.8-102.9-327.9-200-8.744</f>
        <v>8255.256</v>
      </c>
      <c r="E29" s="25">
        <f>1849.8-83.5-23-145.217</f>
        <v>1598.0829999999999</v>
      </c>
      <c r="F29" s="25">
        <f>G29+J29</f>
        <v>322</v>
      </c>
      <c r="G29" s="25">
        <v>290</v>
      </c>
      <c r="H29" s="25">
        <v>100</v>
      </c>
      <c r="I29"/>
      <c r="J29" s="20">
        <f>18+14</f>
        <v>32</v>
      </c>
      <c r="K29" s="25">
        <f>18+14</f>
        <v>32</v>
      </c>
      <c r="L29" s="25">
        <f>18+14</f>
        <v>32</v>
      </c>
      <c r="M29" s="25">
        <f t="shared" si="1"/>
        <v>16010.312999999998</v>
      </c>
    </row>
    <row r="30" spans="1:13" ht="15.75">
      <c r="A30" s="44"/>
      <c r="B30" s="78" t="s">
        <v>187</v>
      </c>
      <c r="C30" s="25">
        <v>223.5</v>
      </c>
      <c r="D30" s="25"/>
      <c r="E30" s="25"/>
      <c r="F30" s="25"/>
      <c r="G30" s="25"/>
      <c r="H30" s="25"/>
      <c r="I30"/>
      <c r="J30"/>
      <c r="K30"/>
      <c r="L30"/>
      <c r="M30" s="25">
        <f t="shared" si="1"/>
        <v>223.5</v>
      </c>
    </row>
    <row r="31" spans="1:13" ht="31.5">
      <c r="A31" s="45" t="s">
        <v>140</v>
      </c>
      <c r="B31" s="32" t="s">
        <v>147</v>
      </c>
      <c r="C31" s="25">
        <f>1697+4.49+681.25+317.1-390.72</f>
        <v>2309.12</v>
      </c>
      <c r="D31" s="25">
        <f>1051.4+371.5+200-198.527</f>
        <v>1424.373</v>
      </c>
      <c r="E31" s="25">
        <f>191.9+83.5+23-103.028</f>
        <v>195.37199999999996</v>
      </c>
      <c r="F31" s="25">
        <f>G31+J31</f>
        <v>5.6</v>
      </c>
      <c r="G31" s="25">
        <v>5.6</v>
      </c>
      <c r="H31" s="25"/>
      <c r="I31" s="25"/>
      <c r="J31"/>
      <c r="K31"/>
      <c r="L31"/>
      <c r="M31" s="25">
        <f t="shared" si="1"/>
        <v>2314.72</v>
      </c>
    </row>
    <row r="32" spans="1:13" ht="15.75">
      <c r="A32" s="45"/>
      <c r="B32" s="78" t="s">
        <v>187</v>
      </c>
      <c r="C32" s="25">
        <v>30</v>
      </c>
      <c r="D32" s="25"/>
      <c r="E32" s="25"/>
      <c r="F32" s="25"/>
      <c r="G32" s="25"/>
      <c r="H32" s="25"/>
      <c r="I32" s="25"/>
      <c r="J32"/>
      <c r="K32"/>
      <c r="L32"/>
      <c r="M32" s="25">
        <f t="shared" si="1"/>
        <v>30</v>
      </c>
    </row>
    <row r="33" spans="1:13" ht="15.75">
      <c r="A33" s="44" t="s">
        <v>141</v>
      </c>
      <c r="B33" s="32" t="s">
        <v>148</v>
      </c>
      <c r="C33" s="25">
        <f>982.9+3.525+1.4-132.742</f>
        <v>855.083</v>
      </c>
      <c r="D33" s="25">
        <f>580+1-62.914</f>
        <v>518.086</v>
      </c>
      <c r="E33" s="25">
        <f>133.4-35.505</f>
        <v>97.89500000000001</v>
      </c>
      <c r="F33" s="25">
        <f>G33+J33</f>
        <v>0.35</v>
      </c>
      <c r="G33" s="25">
        <v>0.35</v>
      </c>
      <c r="H33" s="25"/>
      <c r="I33" s="25"/>
      <c r="J33" s="25"/>
      <c r="K33" s="25"/>
      <c r="L33" s="25"/>
      <c r="M33" s="25">
        <f t="shared" si="1"/>
        <v>855.433</v>
      </c>
    </row>
    <row r="34" spans="1:13" ht="15.75">
      <c r="A34" s="44" t="s">
        <v>203</v>
      </c>
      <c r="B34" s="32" t="s">
        <v>204</v>
      </c>
      <c r="C34" s="25">
        <v>556.91</v>
      </c>
      <c r="D34" s="25"/>
      <c r="E34" s="25"/>
      <c r="F34" s="25"/>
      <c r="G34" s="25"/>
      <c r="H34" s="25"/>
      <c r="I34" s="25"/>
      <c r="J34" s="25"/>
      <c r="K34" s="25"/>
      <c r="L34" s="25"/>
      <c r="M34" s="25">
        <f t="shared" si="1"/>
        <v>556.91</v>
      </c>
    </row>
    <row r="35" spans="1:13" ht="15.75">
      <c r="A35" s="43"/>
      <c r="B35" s="9" t="s">
        <v>2</v>
      </c>
      <c r="C35" s="28">
        <f>C29+C31+C33+C34</f>
        <v>19409.425999999996</v>
      </c>
      <c r="D35" s="28">
        <f aca="true" t="shared" si="3" ref="D35:L35">D29+D31+D33+D34</f>
        <v>10197.714999999998</v>
      </c>
      <c r="E35" s="28">
        <f t="shared" si="3"/>
        <v>1891.35</v>
      </c>
      <c r="F35" s="28">
        <f t="shared" si="3"/>
        <v>327.95000000000005</v>
      </c>
      <c r="G35" s="28">
        <f t="shared" si="3"/>
        <v>295.95000000000005</v>
      </c>
      <c r="H35" s="28">
        <f t="shared" si="3"/>
        <v>100</v>
      </c>
      <c r="I35" s="28">
        <f t="shared" si="3"/>
        <v>0</v>
      </c>
      <c r="J35" s="28">
        <f t="shared" si="3"/>
        <v>32</v>
      </c>
      <c r="K35" s="28">
        <f t="shared" si="3"/>
        <v>32</v>
      </c>
      <c r="L35" s="28">
        <f t="shared" si="3"/>
        <v>32</v>
      </c>
      <c r="M35" s="28">
        <f t="shared" si="1"/>
        <v>19737.375999999997</v>
      </c>
    </row>
    <row r="36" spans="1:13" s="19" customFormat="1" ht="18.75">
      <c r="A36" s="56" t="s">
        <v>33</v>
      </c>
      <c r="B36" s="58" t="s">
        <v>7</v>
      </c>
      <c r="C36" s="28"/>
      <c r="D36" s="28"/>
      <c r="E36" s="28"/>
      <c r="F36" s="25"/>
      <c r="G36" s="28"/>
      <c r="H36" s="28"/>
      <c r="I36" s="28"/>
      <c r="J36" s="28"/>
      <c r="K36" s="28"/>
      <c r="L36" s="28"/>
      <c r="M36" s="25"/>
    </row>
    <row r="37" spans="1:13" s="19" customFormat="1" ht="209.25" customHeight="1">
      <c r="A37" s="41" t="s">
        <v>58</v>
      </c>
      <c r="B37" s="18" t="s">
        <v>100</v>
      </c>
      <c r="C37" s="25">
        <f>2696.7-120.476</f>
        <v>2576.2239999999997</v>
      </c>
      <c r="D37" s="28"/>
      <c r="E37" s="28"/>
      <c r="F37" s="71"/>
      <c r="G37" s="28"/>
      <c r="H37" s="28"/>
      <c r="I37" s="28"/>
      <c r="J37" s="28"/>
      <c r="K37" s="28"/>
      <c r="L37" s="28"/>
      <c r="M37" s="25">
        <f t="shared" si="1"/>
        <v>2576.2239999999997</v>
      </c>
    </row>
    <row r="38" spans="1:13" s="19" customFormat="1" ht="189">
      <c r="A38" s="41" t="s">
        <v>59</v>
      </c>
      <c r="B38" s="18" t="s">
        <v>88</v>
      </c>
      <c r="C38" s="25">
        <f>149.934</f>
        <v>149.934</v>
      </c>
      <c r="D38" s="28"/>
      <c r="E38" s="28"/>
      <c r="F38" s="71"/>
      <c r="G38" s="28"/>
      <c r="H38" s="28"/>
      <c r="I38" s="28"/>
      <c r="J38" s="28"/>
      <c r="K38" s="28"/>
      <c r="L38" s="28"/>
      <c r="M38" s="50">
        <f t="shared" si="1"/>
        <v>149.934</v>
      </c>
    </row>
    <row r="39" spans="1:13" s="19" customFormat="1" ht="189">
      <c r="A39" s="41" t="s">
        <v>60</v>
      </c>
      <c r="B39" s="18" t="s">
        <v>89</v>
      </c>
      <c r="C39" s="25">
        <f>38.4-4.5+18.5</f>
        <v>52.4</v>
      </c>
      <c r="D39" s="28"/>
      <c r="E39" s="28"/>
      <c r="F39" s="25">
        <f>G39+J39</f>
        <v>1.4</v>
      </c>
      <c r="G39" s="28"/>
      <c r="H39" s="28"/>
      <c r="I39" s="28"/>
      <c r="J39" s="25">
        <f>5-3.6</f>
        <v>1.4</v>
      </c>
      <c r="K39" s="25">
        <f>5-3.6</f>
        <v>1.4</v>
      </c>
      <c r="L39" s="25">
        <f>5-3.6</f>
        <v>1.4</v>
      </c>
      <c r="M39" s="50">
        <f t="shared" si="1"/>
        <v>53.8</v>
      </c>
    </row>
    <row r="40" spans="1:13" s="19" customFormat="1" ht="299.25">
      <c r="A40" s="41" t="s">
        <v>61</v>
      </c>
      <c r="B40" s="18" t="s">
        <v>123</v>
      </c>
      <c r="C40" s="25">
        <f>120+10.859</f>
        <v>130.859</v>
      </c>
      <c r="D40" s="28"/>
      <c r="E40" s="28"/>
      <c r="F40" s="71"/>
      <c r="G40" s="28"/>
      <c r="H40" s="28"/>
      <c r="I40" s="28"/>
      <c r="J40" s="28"/>
      <c r="K40" s="28"/>
      <c r="L40" s="28"/>
      <c r="M40" s="25">
        <f t="shared" si="1"/>
        <v>130.859</v>
      </c>
    </row>
    <row r="41" spans="1:13" s="19" customFormat="1" ht="252">
      <c r="A41" s="41"/>
      <c r="B41" s="39" t="s">
        <v>124</v>
      </c>
      <c r="C41" s="25"/>
      <c r="D41" s="28"/>
      <c r="E41" s="28"/>
      <c r="F41" s="71"/>
      <c r="G41" s="28"/>
      <c r="H41" s="28"/>
      <c r="I41" s="28"/>
      <c r="J41" s="28"/>
      <c r="K41" s="28"/>
      <c r="L41" s="28"/>
      <c r="M41" s="25"/>
    </row>
    <row r="42" spans="1:13" s="19" customFormat="1" ht="299.25">
      <c r="A42" s="41" t="s">
        <v>62</v>
      </c>
      <c r="B42" s="30" t="s">
        <v>126</v>
      </c>
      <c r="C42" s="25">
        <f>1.87+0.03</f>
        <v>1.9000000000000001</v>
      </c>
      <c r="D42" s="28"/>
      <c r="E42" s="28"/>
      <c r="F42" s="71"/>
      <c r="G42" s="28"/>
      <c r="H42" s="28"/>
      <c r="I42" s="28"/>
      <c r="J42" s="28"/>
      <c r="K42" s="28"/>
      <c r="L42" s="28"/>
      <c r="M42" s="25">
        <f t="shared" si="1"/>
        <v>1.9000000000000001</v>
      </c>
    </row>
    <row r="43" spans="1:13" s="19" customFormat="1" ht="51" customHeight="1">
      <c r="A43" s="41"/>
      <c r="B43" s="30" t="s">
        <v>125</v>
      </c>
      <c r="C43" s="25"/>
      <c r="D43" s="28"/>
      <c r="E43" s="28"/>
      <c r="F43" s="71"/>
      <c r="G43" s="28"/>
      <c r="H43" s="28"/>
      <c r="I43" s="28"/>
      <c r="J43" s="28"/>
      <c r="K43" s="28"/>
      <c r="L43" s="28"/>
      <c r="M43" s="25">
        <f t="shared" si="1"/>
        <v>0</v>
      </c>
    </row>
    <row r="44" spans="1:13" s="19" customFormat="1" ht="94.5">
      <c r="A44" s="41" t="s">
        <v>63</v>
      </c>
      <c r="B44" s="18" t="s">
        <v>102</v>
      </c>
      <c r="C44" s="25">
        <f>48+5.875</f>
        <v>53.875</v>
      </c>
      <c r="D44" s="28"/>
      <c r="E44" s="28"/>
      <c r="F44" s="71"/>
      <c r="G44" s="28"/>
      <c r="H44" s="28"/>
      <c r="I44" s="28"/>
      <c r="J44" s="28"/>
      <c r="K44" s="28"/>
      <c r="L44" s="28"/>
      <c r="M44" s="25">
        <f t="shared" si="1"/>
        <v>53.875</v>
      </c>
    </row>
    <row r="45" spans="1:13" s="19" customFormat="1" ht="94.5">
      <c r="A45" s="41" t="s">
        <v>64</v>
      </c>
      <c r="B45" s="18" t="s">
        <v>103</v>
      </c>
      <c r="C45" s="25">
        <f>1.496+0.879</f>
        <v>2.375</v>
      </c>
      <c r="D45" s="28"/>
      <c r="E45" s="28"/>
      <c r="F45" s="71"/>
      <c r="G45" s="28"/>
      <c r="H45" s="28"/>
      <c r="I45" s="28"/>
      <c r="J45" s="28"/>
      <c r="K45" s="28"/>
      <c r="L45" s="28"/>
      <c r="M45" s="50">
        <f t="shared" si="1"/>
        <v>2.375</v>
      </c>
    </row>
    <row r="46" spans="1:13" s="19" customFormat="1" ht="78.75">
      <c r="A46" s="41" t="s">
        <v>65</v>
      </c>
      <c r="B46" s="18" t="s">
        <v>104</v>
      </c>
      <c r="C46" s="25">
        <v>1.5</v>
      </c>
      <c r="D46" s="28"/>
      <c r="E46" s="28"/>
      <c r="F46" s="71"/>
      <c r="G46" s="28"/>
      <c r="H46" s="28"/>
      <c r="I46" s="28"/>
      <c r="J46" s="28"/>
      <c r="K46" s="28"/>
      <c r="L46" s="28"/>
      <c r="M46" s="50">
        <f t="shared" si="1"/>
        <v>1.5</v>
      </c>
    </row>
    <row r="47" spans="1:13" s="19" customFormat="1" ht="173.25">
      <c r="A47" s="41" t="s">
        <v>66</v>
      </c>
      <c r="B47" s="18" t="s">
        <v>111</v>
      </c>
      <c r="C47" s="25">
        <f>320+35.236</f>
        <v>355.236</v>
      </c>
      <c r="D47" s="28"/>
      <c r="E47" s="28"/>
      <c r="F47" s="71"/>
      <c r="G47" s="28"/>
      <c r="H47" s="28"/>
      <c r="I47" s="28"/>
      <c r="J47" s="28"/>
      <c r="K47" s="28"/>
      <c r="L47" s="28"/>
      <c r="M47" s="25">
        <f t="shared" si="1"/>
        <v>355.236</v>
      </c>
    </row>
    <row r="48" spans="1:13" s="19" customFormat="1" ht="173.25">
      <c r="A48" s="41" t="s">
        <v>67</v>
      </c>
      <c r="B48" s="18" t="s">
        <v>112</v>
      </c>
      <c r="C48" s="25">
        <f>48+0.491</f>
        <v>48.491</v>
      </c>
      <c r="D48" s="28"/>
      <c r="E48" s="28"/>
      <c r="F48" s="71"/>
      <c r="G48" s="28"/>
      <c r="H48" s="28"/>
      <c r="I48" s="28"/>
      <c r="J48" s="28"/>
      <c r="K48" s="28"/>
      <c r="L48" s="28"/>
      <c r="M48" s="25">
        <f t="shared" si="1"/>
        <v>48.491</v>
      </c>
    </row>
    <row r="49" spans="1:13" s="19" customFormat="1" ht="47.25">
      <c r="A49" s="41" t="s">
        <v>68</v>
      </c>
      <c r="B49" s="18" t="s">
        <v>90</v>
      </c>
      <c r="C49" s="25">
        <v>54.4</v>
      </c>
      <c r="D49" s="28"/>
      <c r="E49" s="28"/>
      <c r="F49" s="71"/>
      <c r="G49" s="28"/>
      <c r="H49" s="28"/>
      <c r="I49" s="28"/>
      <c r="J49" s="28"/>
      <c r="K49" s="28"/>
      <c r="L49" s="28"/>
      <c r="M49" s="25">
        <f t="shared" si="1"/>
        <v>54.4</v>
      </c>
    </row>
    <row r="50" spans="1:13" s="19" customFormat="1" ht="31.5">
      <c r="A50" s="41" t="s">
        <v>69</v>
      </c>
      <c r="B50" s="18" t="s">
        <v>91</v>
      </c>
      <c r="C50" s="25">
        <f>113.8-6.9</f>
        <v>106.89999999999999</v>
      </c>
      <c r="D50" s="28"/>
      <c r="E50" s="28"/>
      <c r="F50" s="71"/>
      <c r="G50" s="28"/>
      <c r="H50" s="28"/>
      <c r="I50" s="28"/>
      <c r="J50" s="28"/>
      <c r="K50" s="28"/>
      <c r="L50" s="28"/>
      <c r="M50" s="50">
        <f t="shared" si="1"/>
        <v>106.89999999999999</v>
      </c>
    </row>
    <row r="51" spans="1:13" s="19" customFormat="1" ht="31.5">
      <c r="A51" s="41" t="s">
        <v>128</v>
      </c>
      <c r="B51" s="18" t="s">
        <v>119</v>
      </c>
      <c r="C51" s="25">
        <f>420+68.506</f>
        <v>488.506</v>
      </c>
      <c r="D51" s="28"/>
      <c r="E51" s="28"/>
      <c r="F51" s="71"/>
      <c r="G51" s="28"/>
      <c r="H51" s="28"/>
      <c r="I51" s="28"/>
      <c r="J51" s="28"/>
      <c r="K51" s="28"/>
      <c r="L51" s="28"/>
      <c r="M51" s="25">
        <f t="shared" si="1"/>
        <v>488.506</v>
      </c>
    </row>
    <row r="52" spans="1:13" s="19" customFormat="1" ht="47.25">
      <c r="A52" s="41" t="s">
        <v>129</v>
      </c>
      <c r="B52" s="18" t="s">
        <v>133</v>
      </c>
      <c r="C52" s="25">
        <v>70.4</v>
      </c>
      <c r="D52" s="28"/>
      <c r="E52" s="28"/>
      <c r="F52" s="71"/>
      <c r="G52" s="28"/>
      <c r="H52" s="28"/>
      <c r="I52" s="28"/>
      <c r="J52" s="28"/>
      <c r="K52" s="28"/>
      <c r="L52" s="28"/>
      <c r="M52" s="50">
        <f t="shared" si="1"/>
        <v>70.4</v>
      </c>
    </row>
    <row r="53" spans="1:13" s="19" customFormat="1" ht="31.5">
      <c r="A53" s="41" t="s">
        <v>70</v>
      </c>
      <c r="B53" s="18" t="s">
        <v>92</v>
      </c>
      <c r="C53" s="25">
        <f>413.3+16.722</f>
        <v>430.022</v>
      </c>
      <c r="D53" s="28"/>
      <c r="E53" s="28"/>
      <c r="F53" s="71"/>
      <c r="G53" s="28"/>
      <c r="H53" s="28"/>
      <c r="I53" s="28"/>
      <c r="J53" s="28"/>
      <c r="K53" s="28"/>
      <c r="L53" s="28"/>
      <c r="M53" s="50">
        <f t="shared" si="1"/>
        <v>430.022</v>
      </c>
    </row>
    <row r="54" spans="1:13" s="19" customFormat="1" ht="31.5">
      <c r="A54" s="41" t="s">
        <v>71</v>
      </c>
      <c r="B54" s="18" t="s">
        <v>93</v>
      </c>
      <c r="C54" s="25">
        <f>7537.8-500-250+513</f>
        <v>7300.8</v>
      </c>
      <c r="D54" s="28"/>
      <c r="E54" s="28"/>
      <c r="F54" s="71"/>
      <c r="G54" s="28"/>
      <c r="H54" s="28"/>
      <c r="I54" s="28"/>
      <c r="J54" s="28"/>
      <c r="K54" s="28"/>
      <c r="L54" s="28"/>
      <c r="M54" s="50">
        <f t="shared" si="1"/>
        <v>7300.8</v>
      </c>
    </row>
    <row r="55" spans="1:13" s="19" customFormat="1" ht="31.5">
      <c r="A55" s="41" t="s">
        <v>72</v>
      </c>
      <c r="B55" s="18" t="s">
        <v>134</v>
      </c>
      <c r="C55" s="25">
        <f>15716.7-1300-450+957.916</f>
        <v>14924.616</v>
      </c>
      <c r="D55" s="28"/>
      <c r="E55" s="28"/>
      <c r="F55" s="71"/>
      <c r="G55" s="28"/>
      <c r="H55" s="28"/>
      <c r="I55" s="28"/>
      <c r="J55" s="28"/>
      <c r="K55" s="28"/>
      <c r="L55" s="28"/>
      <c r="M55" s="25">
        <f t="shared" si="1"/>
        <v>14924.616</v>
      </c>
    </row>
    <row r="56" spans="1:13" s="19" customFormat="1" ht="31.5">
      <c r="A56" s="41" t="s">
        <v>73</v>
      </c>
      <c r="B56" s="30" t="s">
        <v>113</v>
      </c>
      <c r="C56" s="25">
        <f>209+1800+150+240.916</f>
        <v>2399.916</v>
      </c>
      <c r="D56" s="28"/>
      <c r="E56" s="28"/>
      <c r="F56" s="71"/>
      <c r="G56" s="28"/>
      <c r="H56" s="28"/>
      <c r="I56" s="28"/>
      <c r="J56" s="28"/>
      <c r="K56" s="28"/>
      <c r="L56" s="28"/>
      <c r="M56" s="50">
        <f t="shared" si="1"/>
        <v>2399.916</v>
      </c>
    </row>
    <row r="57" spans="1:13" s="19" customFormat="1" ht="31.5">
      <c r="A57" s="41" t="s">
        <v>74</v>
      </c>
      <c r="B57" s="18" t="s">
        <v>94</v>
      </c>
      <c r="C57" s="25">
        <f>4964.1-30+485.798</f>
        <v>5419.898</v>
      </c>
      <c r="D57" s="28"/>
      <c r="E57" s="28"/>
      <c r="F57" s="71"/>
      <c r="G57" s="28"/>
      <c r="H57" s="28"/>
      <c r="I57" s="28"/>
      <c r="J57" s="28"/>
      <c r="K57" s="28"/>
      <c r="L57" s="28"/>
      <c r="M57" s="25">
        <f t="shared" si="1"/>
        <v>5419.898</v>
      </c>
    </row>
    <row r="58" spans="1:13" s="19" customFormat="1" ht="31.5">
      <c r="A58" s="41" t="s">
        <v>75</v>
      </c>
      <c r="B58" s="18" t="s">
        <v>95</v>
      </c>
      <c r="C58" s="25">
        <f>580.4+61.728</f>
        <v>642.1279999999999</v>
      </c>
      <c r="D58" s="28"/>
      <c r="E58" s="28"/>
      <c r="F58" s="71"/>
      <c r="G58" s="28"/>
      <c r="H58" s="28"/>
      <c r="I58" s="28"/>
      <c r="J58" s="28"/>
      <c r="K58" s="28"/>
      <c r="L58" s="28"/>
      <c r="M58" s="25">
        <f t="shared" si="1"/>
        <v>642.1279999999999</v>
      </c>
    </row>
    <row r="59" spans="1:13" s="19" customFormat="1" ht="31.5">
      <c r="A59" s="41" t="s">
        <v>117</v>
      </c>
      <c r="B59" s="18" t="s">
        <v>118</v>
      </c>
      <c r="C59" s="25">
        <f>50.6-30.132</f>
        <v>20.468</v>
      </c>
      <c r="D59" s="28"/>
      <c r="E59" s="28"/>
      <c r="F59" s="71"/>
      <c r="G59" s="28"/>
      <c r="H59" s="28"/>
      <c r="I59" s="28"/>
      <c r="J59" s="28"/>
      <c r="K59" s="28"/>
      <c r="L59" s="28"/>
      <c r="M59" s="25">
        <f t="shared" si="1"/>
        <v>20.468</v>
      </c>
    </row>
    <row r="60" spans="1:13" s="19" customFormat="1" ht="31.5">
      <c r="A60" s="41" t="s">
        <v>76</v>
      </c>
      <c r="B60" s="18" t="s">
        <v>96</v>
      </c>
      <c r="C60" s="25">
        <f>2129.7+1161+150+816.618</f>
        <v>4257.318</v>
      </c>
      <c r="D60" s="28"/>
      <c r="E60" s="28"/>
      <c r="F60" s="71"/>
      <c r="G60" s="28"/>
      <c r="H60" s="28"/>
      <c r="I60" s="28"/>
      <c r="J60" s="28"/>
      <c r="K60" s="28"/>
      <c r="L60" s="28"/>
      <c r="M60" s="50">
        <f t="shared" si="1"/>
        <v>4257.318</v>
      </c>
    </row>
    <row r="61" spans="1:13" s="19" customFormat="1" ht="47.25">
      <c r="A61" s="41" t="s">
        <v>77</v>
      </c>
      <c r="B61" s="18" t="s">
        <v>120</v>
      </c>
      <c r="C61" s="25">
        <v>533.2</v>
      </c>
      <c r="D61" s="28"/>
      <c r="E61" s="28"/>
      <c r="F61" s="71"/>
      <c r="G61" s="28"/>
      <c r="H61" s="28"/>
      <c r="I61" s="28"/>
      <c r="J61" s="28"/>
      <c r="K61" s="28"/>
      <c r="L61" s="28"/>
      <c r="M61" s="25">
        <f t="shared" si="1"/>
        <v>533.2</v>
      </c>
    </row>
    <row r="62" spans="1:13" s="19" customFormat="1" ht="57" customHeight="1">
      <c r="A62" s="41" t="s">
        <v>110</v>
      </c>
      <c r="B62" s="18" t="s">
        <v>121</v>
      </c>
      <c r="C62" s="25">
        <f>211.5+40.5</f>
        <v>252</v>
      </c>
      <c r="D62" s="28"/>
      <c r="E62" s="28"/>
      <c r="F62" s="71"/>
      <c r="G62" s="28"/>
      <c r="H62" s="28"/>
      <c r="I62" s="28"/>
      <c r="J62" s="28"/>
      <c r="K62" s="28"/>
      <c r="L62" s="28"/>
      <c r="M62" s="50">
        <f t="shared" si="1"/>
        <v>252</v>
      </c>
    </row>
    <row r="63" spans="1:13" s="19" customFormat="1" ht="1.5" customHeight="1">
      <c r="A63"/>
      <c r="B63"/>
      <c r="C63"/>
      <c r="D63" s="28"/>
      <c r="E63" s="28"/>
      <c r="F63" s="71"/>
      <c r="G63" s="28"/>
      <c r="H63" s="28"/>
      <c r="I63" s="28"/>
      <c r="J63" s="28"/>
      <c r="K63" s="28"/>
      <c r="L63" s="28"/>
      <c r="M63" s="25">
        <f t="shared" si="1"/>
        <v>0</v>
      </c>
    </row>
    <row r="64" spans="1:13" s="19" customFormat="1" ht="15.75">
      <c r="A64" s="41" t="s">
        <v>78</v>
      </c>
      <c r="B64" s="18" t="s">
        <v>79</v>
      </c>
      <c r="C64" s="25">
        <f>65.2+1.7</f>
        <v>66.9</v>
      </c>
      <c r="D64" s="28"/>
      <c r="E64" s="28"/>
      <c r="F64" s="71"/>
      <c r="G64" s="28"/>
      <c r="H64" s="28"/>
      <c r="I64" s="28"/>
      <c r="J64" s="28"/>
      <c r="K64" s="28"/>
      <c r="L64" s="28"/>
      <c r="M64" s="25">
        <f t="shared" si="1"/>
        <v>66.9</v>
      </c>
    </row>
    <row r="65" spans="1:13" s="19" customFormat="1" ht="15.75">
      <c r="A65" s="41" t="s">
        <v>114</v>
      </c>
      <c r="B65" s="34" t="s">
        <v>115</v>
      </c>
      <c r="C65" s="25">
        <f>57.4-3+8.6</f>
        <v>63</v>
      </c>
      <c r="D65" s="28"/>
      <c r="E65" s="28"/>
      <c r="F65" s="71"/>
      <c r="G65" s="28"/>
      <c r="H65" s="28"/>
      <c r="I65" s="28"/>
      <c r="J65" s="28"/>
      <c r="K65" s="28"/>
      <c r="L65" s="28"/>
      <c r="M65" s="25">
        <f t="shared" si="1"/>
        <v>63</v>
      </c>
    </row>
    <row r="66" spans="1:13" s="19" customFormat="1" ht="31.5">
      <c r="A66" s="41" t="s">
        <v>80</v>
      </c>
      <c r="B66" s="10" t="s">
        <v>127</v>
      </c>
      <c r="C66" s="25">
        <f>15.8-1</f>
        <v>14.8</v>
      </c>
      <c r="D66" s="28"/>
      <c r="E66" s="28"/>
      <c r="F66" s="71"/>
      <c r="G66" s="28"/>
      <c r="H66" s="28"/>
      <c r="I66" s="28"/>
      <c r="J66" s="28"/>
      <c r="K66" s="28"/>
      <c r="L66" s="28"/>
      <c r="M66" s="25">
        <f t="shared" si="1"/>
        <v>14.8</v>
      </c>
    </row>
    <row r="67" spans="1:13" s="19" customFormat="1" ht="31.5">
      <c r="A67" s="41" t="s">
        <v>81</v>
      </c>
      <c r="B67" s="18" t="s">
        <v>190</v>
      </c>
      <c r="C67" s="25">
        <f>C69+C70</f>
        <v>176.60000000000002</v>
      </c>
      <c r="D67" s="28"/>
      <c r="E67" s="28"/>
      <c r="F67" s="71"/>
      <c r="G67" s="28"/>
      <c r="H67" s="28"/>
      <c r="I67" s="28"/>
      <c r="J67" s="28"/>
      <c r="K67" s="28"/>
      <c r="L67" s="28"/>
      <c r="M67" s="25">
        <f t="shared" si="1"/>
        <v>176.60000000000002</v>
      </c>
    </row>
    <row r="68" spans="1:13" s="19" customFormat="1" ht="15.75">
      <c r="A68" s="41"/>
      <c r="B68" s="18" t="s">
        <v>188</v>
      </c>
      <c r="C68" s="25"/>
      <c r="D68" s="28"/>
      <c r="E68" s="28"/>
      <c r="F68" s="71"/>
      <c r="G68" s="28"/>
      <c r="H68" s="28"/>
      <c r="I68" s="28"/>
      <c r="J68" s="28"/>
      <c r="K68" s="28"/>
      <c r="L68" s="28"/>
      <c r="M68" s="25"/>
    </row>
    <row r="69" spans="1:13" s="19" customFormat="1" ht="15.75">
      <c r="A69" s="41"/>
      <c r="B69" s="18" t="s">
        <v>189</v>
      </c>
      <c r="C69" s="25">
        <v>13</v>
      </c>
      <c r="D69" s="28"/>
      <c r="E69" s="28"/>
      <c r="F69" s="71"/>
      <c r="G69" s="28"/>
      <c r="H69" s="28"/>
      <c r="I69" s="28"/>
      <c r="J69" s="28"/>
      <c r="K69" s="28"/>
      <c r="L69" s="28"/>
      <c r="M69" s="25">
        <f t="shared" si="1"/>
        <v>13</v>
      </c>
    </row>
    <row r="70" spans="1:13" s="19" customFormat="1" ht="15.75">
      <c r="A70" s="41"/>
      <c r="B70" s="18" t="s">
        <v>201</v>
      </c>
      <c r="C70" s="25">
        <f>60.7+102.9</f>
        <v>163.60000000000002</v>
      </c>
      <c r="D70" s="28"/>
      <c r="E70" s="28"/>
      <c r="F70" s="71"/>
      <c r="G70" s="28"/>
      <c r="H70" s="28"/>
      <c r="I70" s="28"/>
      <c r="J70" s="28"/>
      <c r="K70" s="28"/>
      <c r="L70" s="28"/>
      <c r="M70" s="25">
        <f t="shared" si="1"/>
        <v>163.60000000000002</v>
      </c>
    </row>
    <row r="71" spans="1:13" s="19" customFormat="1" ht="35.25" customHeight="1">
      <c r="A71" s="41" t="s">
        <v>82</v>
      </c>
      <c r="B71" s="18" t="s">
        <v>169</v>
      </c>
      <c r="C71" s="25">
        <f>2829.2-101.7-35.6+0.637+6.5-62.5+70.382</f>
        <v>2706.9190000000003</v>
      </c>
      <c r="D71" s="25">
        <f>1907.7-101.7+4.7-79.291+63.39</f>
        <v>1794.7990000000002</v>
      </c>
      <c r="E71" s="25">
        <f>105.545+14.6-9</f>
        <v>111.145</v>
      </c>
      <c r="F71" s="25">
        <f>G71+J71</f>
        <v>130.5</v>
      </c>
      <c r="G71" s="25">
        <v>125</v>
      </c>
      <c r="H71" s="25">
        <v>7</v>
      </c>
      <c r="I71" s="25"/>
      <c r="J71" s="69">
        <v>5.5</v>
      </c>
      <c r="K71" s="69">
        <v>5.5</v>
      </c>
      <c r="L71" s="69">
        <v>5.5</v>
      </c>
      <c r="M71" s="25">
        <f t="shared" si="1"/>
        <v>2837.4190000000003</v>
      </c>
    </row>
    <row r="72" spans="1:13" s="19" customFormat="1" ht="63">
      <c r="A72" s="41" t="s">
        <v>157</v>
      </c>
      <c r="B72" s="18" t="s">
        <v>158</v>
      </c>
      <c r="C72" s="25">
        <f>92.8+46.7</f>
        <v>139.5</v>
      </c>
      <c r="D72" s="25"/>
      <c r="E72" s="25"/>
      <c r="F72" s="25"/>
      <c r="G72" s="25"/>
      <c r="H72" s="25"/>
      <c r="I72" s="25"/>
      <c r="J72" s="25"/>
      <c r="K72" s="25"/>
      <c r="L72" s="25"/>
      <c r="M72" s="25">
        <f t="shared" si="1"/>
        <v>139.5</v>
      </c>
    </row>
    <row r="73" spans="1:13" s="19" customFormat="1" ht="31.5">
      <c r="A73" s="41" t="s">
        <v>171</v>
      </c>
      <c r="B73" s="18" t="s">
        <v>172</v>
      </c>
      <c r="C73" s="25">
        <f>281.918+0.4-9</f>
        <v>273.318</v>
      </c>
      <c r="D73" s="25">
        <f>155.499+0.3-6.6</f>
        <v>149.199</v>
      </c>
      <c r="E73" s="25">
        <v>17.6</v>
      </c>
      <c r="F73" s="25">
        <f>G73+J73</f>
        <v>9</v>
      </c>
      <c r="G73" s="25"/>
      <c r="H73" s="25"/>
      <c r="I73" s="25"/>
      <c r="J73" s="25">
        <v>9</v>
      </c>
      <c r="K73" s="25">
        <v>9</v>
      </c>
      <c r="L73" s="25">
        <v>9</v>
      </c>
      <c r="M73" s="25">
        <f t="shared" si="1"/>
        <v>282.318</v>
      </c>
    </row>
    <row r="74" spans="1:13" s="19" customFormat="1" ht="85.5" customHeight="1">
      <c r="A74" s="41" t="s">
        <v>182</v>
      </c>
      <c r="B74" s="18" t="s">
        <v>183</v>
      </c>
      <c r="C74" s="25">
        <v>3</v>
      </c>
      <c r="D74" s="25"/>
      <c r="E74" s="25"/>
      <c r="F74" s="25"/>
      <c r="G74" s="25"/>
      <c r="H74" s="25"/>
      <c r="I74" s="25"/>
      <c r="J74" s="25"/>
      <c r="K74" s="25"/>
      <c r="L74" s="25"/>
      <c r="M74" s="25">
        <f t="shared" si="1"/>
        <v>3</v>
      </c>
    </row>
    <row r="75" spans="1:13" s="19" customFormat="1" ht="31.5">
      <c r="A75" s="41" t="s">
        <v>87</v>
      </c>
      <c r="B75" s="18" t="s">
        <v>159</v>
      </c>
      <c r="C75" s="25">
        <v>38.8</v>
      </c>
      <c r="D75" s="28"/>
      <c r="E75" s="28"/>
      <c r="F75" s="71"/>
      <c r="G75" s="28"/>
      <c r="H75" s="28"/>
      <c r="I75" s="28"/>
      <c r="J75" s="28"/>
      <c r="K75" s="28"/>
      <c r="L75" s="28"/>
      <c r="M75" s="25">
        <f t="shared" si="1"/>
        <v>38.8</v>
      </c>
    </row>
    <row r="76" spans="1:13" s="19" customFormat="1" ht="47.25">
      <c r="A76" s="41" t="s">
        <v>83</v>
      </c>
      <c r="B76" s="18" t="s">
        <v>97</v>
      </c>
      <c r="C76" s="25">
        <f>4759.3+460.132+67.202</f>
        <v>5286.634</v>
      </c>
      <c r="D76" s="28"/>
      <c r="E76" s="28"/>
      <c r="F76" s="71"/>
      <c r="G76" s="28"/>
      <c r="H76" s="28"/>
      <c r="I76" s="28"/>
      <c r="J76" s="28"/>
      <c r="K76" s="28"/>
      <c r="L76" s="28"/>
      <c r="M76" s="50">
        <f t="shared" si="1"/>
        <v>5286.634</v>
      </c>
    </row>
    <row r="77" spans="1:13" s="19" customFormat="1" ht="57" customHeight="1">
      <c r="A77" s="41" t="s">
        <v>108</v>
      </c>
      <c r="B77" s="30" t="s">
        <v>109</v>
      </c>
      <c r="C77" s="25">
        <f>9.7-0.136</f>
        <v>9.564</v>
      </c>
      <c r="D77" s="28"/>
      <c r="E77" s="28"/>
      <c r="F77" s="71"/>
      <c r="G77" s="28"/>
      <c r="H77" s="28"/>
      <c r="I77" s="28"/>
      <c r="J77" s="28"/>
      <c r="K77" s="28"/>
      <c r="L77" s="28"/>
      <c r="M77" s="25">
        <f t="shared" si="1"/>
        <v>9.564</v>
      </c>
    </row>
    <row r="78" spans="1:13" s="19" customFormat="1" ht="31.5">
      <c r="A78" s="41" t="s">
        <v>84</v>
      </c>
      <c r="B78" s="18" t="s">
        <v>98</v>
      </c>
      <c r="C78" s="25">
        <f>0.2+0.136</f>
        <v>0.336</v>
      </c>
      <c r="D78" s="28"/>
      <c r="E78" s="28"/>
      <c r="F78" s="71"/>
      <c r="G78" s="28"/>
      <c r="H78" s="28"/>
      <c r="I78" s="28"/>
      <c r="J78" s="28"/>
      <c r="K78" s="28"/>
      <c r="L78" s="28"/>
      <c r="M78" s="25">
        <f t="shared" si="1"/>
        <v>0.336</v>
      </c>
    </row>
    <row r="79" spans="1:13" s="19" customFormat="1" ht="15.75">
      <c r="A79" s="44" t="s">
        <v>39</v>
      </c>
      <c r="B79" s="32" t="s">
        <v>40</v>
      </c>
      <c r="C79" s="25">
        <f>105.9-3.6-1.3+651.54-38</f>
        <v>714.54</v>
      </c>
      <c r="D79" s="25">
        <f>75.491-3.6+374.027+4-49</f>
        <v>400.918</v>
      </c>
      <c r="E79" s="25">
        <f>1.537+7.5</f>
        <v>9.036999999999999</v>
      </c>
      <c r="F79" s="20">
        <f>G79+J79</f>
        <v>207.36</v>
      </c>
      <c r="G79" s="25"/>
      <c r="H79" s="25"/>
      <c r="I79" s="25"/>
      <c r="J79" s="25">
        <f>172.86+34.5</f>
        <v>207.36</v>
      </c>
      <c r="K79" s="25">
        <f>172.86+34.5</f>
        <v>207.36</v>
      </c>
      <c r="L79" s="25">
        <f>172.86+34.5</f>
        <v>207.36</v>
      </c>
      <c r="M79" s="25">
        <f t="shared" si="1"/>
        <v>921.9</v>
      </c>
    </row>
    <row r="80" spans="1:13" s="19" customFormat="1" ht="15.75">
      <c r="A80" s="44"/>
      <c r="B80" s="32" t="s">
        <v>41</v>
      </c>
      <c r="C80" s="25"/>
      <c r="D80" s="25"/>
      <c r="E80" s="25"/>
      <c r="F80" s="25" t="s">
        <v>101</v>
      </c>
      <c r="G80" s="25"/>
      <c r="H80" s="25"/>
      <c r="I80" s="25"/>
      <c r="J80" s="25"/>
      <c r="K80" s="25"/>
      <c r="L80" s="25"/>
      <c r="M80" s="25" t="s">
        <v>101</v>
      </c>
    </row>
    <row r="81" spans="1:13" s="19" customFormat="1" ht="31.5">
      <c r="A81" s="77" t="s">
        <v>175</v>
      </c>
      <c r="B81" s="74" t="s">
        <v>176</v>
      </c>
      <c r="C81" s="25">
        <v>2.5</v>
      </c>
      <c r="D81" s="25"/>
      <c r="E81" s="25"/>
      <c r="F81" s="25"/>
      <c r="G81" s="25"/>
      <c r="H81" s="25"/>
      <c r="I81" s="25"/>
      <c r="J81" s="25"/>
      <c r="K81" s="25"/>
      <c r="L81" s="25"/>
      <c r="M81" s="25">
        <f t="shared" si="1"/>
        <v>2.5</v>
      </c>
    </row>
    <row r="82" spans="1:13" s="19" customFormat="1" ht="15.75">
      <c r="A82" s="44" t="s">
        <v>42</v>
      </c>
      <c r="B82" s="32" t="s">
        <v>43</v>
      </c>
      <c r="C82" s="25">
        <v>6</v>
      </c>
      <c r="D82" s="25"/>
      <c r="E82" s="25"/>
      <c r="F82" s="8"/>
      <c r="G82" s="25"/>
      <c r="H82" s="25"/>
      <c r="I82" s="25"/>
      <c r="J82" s="25"/>
      <c r="K82" s="25"/>
      <c r="L82" s="25"/>
      <c r="M82" s="25">
        <f t="shared" si="1"/>
        <v>6</v>
      </c>
    </row>
    <row r="83" spans="1:13" s="19" customFormat="1" ht="15.75">
      <c r="A83" s="44"/>
      <c r="B83" s="32" t="s">
        <v>44</v>
      </c>
      <c r="C83" s="25"/>
      <c r="D83" s="25"/>
      <c r="E83" s="25"/>
      <c r="F83" s="8"/>
      <c r="G83" s="25"/>
      <c r="H83" s="25"/>
      <c r="I83" s="25"/>
      <c r="J83" s="25"/>
      <c r="K83" s="25"/>
      <c r="L83" s="25"/>
      <c r="M83" s="25" t="s">
        <v>101</v>
      </c>
    </row>
    <row r="84" spans="1:13" s="19" customFormat="1" ht="15.75">
      <c r="A84" s="44" t="s">
        <v>45</v>
      </c>
      <c r="B84" s="32" t="s">
        <v>105</v>
      </c>
      <c r="C84" s="25">
        <f>1+6.9</f>
        <v>7.9</v>
      </c>
      <c r="D84" s="25"/>
      <c r="E84" s="25"/>
      <c r="F84" s="8"/>
      <c r="G84" s="25"/>
      <c r="H84" s="25"/>
      <c r="I84" s="25"/>
      <c r="J84" s="25"/>
      <c r="K84" s="25"/>
      <c r="L84" s="25"/>
      <c r="M84" s="25">
        <f t="shared" si="1"/>
        <v>7.9</v>
      </c>
    </row>
    <row r="85" spans="1:13" s="19" customFormat="1" ht="15.75">
      <c r="A85" s="44"/>
      <c r="B85" s="13" t="s">
        <v>8</v>
      </c>
      <c r="C85" s="28">
        <f>C37+C38+C39+C40+C42+C44+C45+C46+C47+C48+C49+C50+C51+C52+C53+C54+C55+C56+C57+C58+C59+C60+C61+C62+C64+C65+C66+C67+C71+C72++C73+C74+C75+C76+C77+C78+C79+C81+C82+C84</f>
        <v>49783.677</v>
      </c>
      <c r="D85" s="28">
        <f>D37+D38+D39+D40+D42+D44+D45+D46+D47+D48+D49+D50+D51+D52+D53+D54+D55+D56+D57+D58+D59+D60+D61+D62+D64+D65+D66+D67+D71+D72++D73+D74+D75+D76+D77+D78+D79+D81+D82+D84</f>
        <v>2344.916</v>
      </c>
      <c r="E85" s="28">
        <f>E37+E38+E39+E40+E42+E44+E45+E46+E47+E48+E49+E50+E51+E52+E53+E54+E55+E56+E57+E58+E59+E60+E61+E62+E64+E65+E66+E67+E71+E72++E73+E74+E75+E76+E77+E78+E79+E81+E82+E84</f>
        <v>137.782</v>
      </c>
      <c r="F85" s="28">
        <f>G85+J85</f>
        <v>348.26</v>
      </c>
      <c r="G85" s="28">
        <f aca="true" t="shared" si="4" ref="G85:L85">SUM(G37:G84)</f>
        <v>125</v>
      </c>
      <c r="H85" s="28">
        <f t="shared" si="4"/>
        <v>7</v>
      </c>
      <c r="I85" s="28">
        <f t="shared" si="4"/>
        <v>0</v>
      </c>
      <c r="J85" s="28">
        <f t="shared" si="4"/>
        <v>223.26000000000002</v>
      </c>
      <c r="K85" s="28">
        <f t="shared" si="4"/>
        <v>223.26000000000002</v>
      </c>
      <c r="L85" s="28">
        <f t="shared" si="4"/>
        <v>223.26000000000002</v>
      </c>
      <c r="M85" s="72">
        <f t="shared" si="1"/>
        <v>50131.937000000005</v>
      </c>
    </row>
    <row r="86" spans="1:13" s="19" customFormat="1" ht="15.75">
      <c r="A86" s="46" t="s">
        <v>11</v>
      </c>
      <c r="B86" s="9" t="s">
        <v>10</v>
      </c>
      <c r="C86" s="25"/>
      <c r="D86" s="25"/>
      <c r="E86" s="25"/>
      <c r="F86" s="8"/>
      <c r="G86" s="25"/>
      <c r="H86" s="25"/>
      <c r="I86" s="25"/>
      <c r="J86" s="25"/>
      <c r="K86" s="25"/>
      <c r="L86" s="25"/>
      <c r="M86" s="25"/>
    </row>
    <row r="87" spans="1:13" s="19" customFormat="1" ht="15.75">
      <c r="A87" s="40" t="s">
        <v>19</v>
      </c>
      <c r="B87" s="10" t="s">
        <v>12</v>
      </c>
      <c r="C87" s="25">
        <f>1700.255+6.076+0.35-11.85</f>
        <v>1694.8310000000001</v>
      </c>
      <c r="D87" s="25">
        <f>1176.89+0.25-26.5</f>
        <v>1150.64</v>
      </c>
      <c r="E87" s="25">
        <f>90.205-6</f>
        <v>84.205</v>
      </c>
      <c r="F87" s="25">
        <f>SUM(G87,J87)</f>
        <v>6.05</v>
      </c>
      <c r="G87" s="25">
        <v>2</v>
      </c>
      <c r="H87" s="25"/>
      <c r="I87" s="25"/>
      <c r="J87" s="25">
        <f>0.5+3.55</f>
        <v>4.05</v>
      </c>
      <c r="K87" s="20">
        <v>3.55</v>
      </c>
      <c r="L87" s="20">
        <v>3.55</v>
      </c>
      <c r="M87" s="25">
        <f aca="true" t="shared" si="5" ref="M87:M92">F87+C87</f>
        <v>1700.881</v>
      </c>
    </row>
    <row r="88" spans="1:13" s="19" customFormat="1" ht="15.75">
      <c r="A88" s="40" t="s">
        <v>20</v>
      </c>
      <c r="B88" s="10" t="s">
        <v>13</v>
      </c>
      <c r="C88" s="25">
        <f>342.355+0.111+0.48-4.8</f>
        <v>338.146</v>
      </c>
      <c r="D88" s="25">
        <f>217.215+0.35-6</f>
        <v>211.565</v>
      </c>
      <c r="E88" s="25">
        <f>43.79+1.7</f>
        <v>45.49</v>
      </c>
      <c r="F88" s="25"/>
      <c r="G88" s="25"/>
      <c r="H88" s="25"/>
      <c r="I88" s="25"/>
      <c r="J88" s="25"/>
      <c r="K88" s="25"/>
      <c r="L88" s="25"/>
      <c r="M88" s="25">
        <f t="shared" si="5"/>
        <v>338.146</v>
      </c>
    </row>
    <row r="89" spans="1:13" s="19" customFormat="1" ht="31.5">
      <c r="A89" s="41" t="s">
        <v>23</v>
      </c>
      <c r="B89" s="18" t="s">
        <v>28</v>
      </c>
      <c r="C89" s="25">
        <f>730.522+0.6093+0.48-8.8</f>
        <v>722.8113000000001</v>
      </c>
      <c r="D89" s="25">
        <f>445.012+0.35-6.7</f>
        <v>438.66200000000003</v>
      </c>
      <c r="E89" s="25">
        <f>111.87-10.1</f>
        <v>101.77000000000001</v>
      </c>
      <c r="F89" s="25">
        <f>SUM(G89,J89)</f>
        <v>9.83</v>
      </c>
      <c r="G89" s="25">
        <v>7.83</v>
      </c>
      <c r="H89" s="8"/>
      <c r="I89" s="25">
        <v>1.1</v>
      </c>
      <c r="J89" s="25">
        <v>2</v>
      </c>
      <c r="K89" s="8"/>
      <c r="L89" s="8"/>
      <c r="M89" s="25">
        <f t="shared" si="5"/>
        <v>732.6413000000001</v>
      </c>
    </row>
    <row r="90" spans="1:13" s="19" customFormat="1" ht="15.75">
      <c r="A90" s="41" t="s">
        <v>0</v>
      </c>
      <c r="B90" s="18" t="s">
        <v>1</v>
      </c>
      <c r="C90" s="25">
        <f>730.963+0.133+0.28-2.3</f>
        <v>729.076</v>
      </c>
      <c r="D90" s="25">
        <f>512.82+0.2-4.14</f>
        <v>508.8800000000001</v>
      </c>
      <c r="E90" s="25">
        <f>29.14+1.7</f>
        <v>30.84</v>
      </c>
      <c r="F90" s="25">
        <f>SUM(G90,J90)</f>
        <v>37.2</v>
      </c>
      <c r="G90" s="25">
        <v>36.2</v>
      </c>
      <c r="H90" s="25">
        <v>25.2</v>
      </c>
      <c r="I90" s="25"/>
      <c r="J90" s="25">
        <v>1</v>
      </c>
      <c r="K90" s="29"/>
      <c r="L90" s="29"/>
      <c r="M90" s="25">
        <f t="shared" si="5"/>
        <v>766.2760000000001</v>
      </c>
    </row>
    <row r="91" spans="1:13" s="19" customFormat="1" ht="15.75">
      <c r="A91" s="40" t="s">
        <v>21</v>
      </c>
      <c r="B91" s="10" t="s">
        <v>14</v>
      </c>
      <c r="C91" s="50">
        <f>58+22.407-3.988-0.00072</f>
        <v>76.41828</v>
      </c>
      <c r="D91" s="25"/>
      <c r="E91" s="25"/>
      <c r="F91" s="25"/>
      <c r="G91" s="25"/>
      <c r="H91" s="25"/>
      <c r="I91" s="25"/>
      <c r="J91" s="25"/>
      <c r="K91" s="29"/>
      <c r="L91" s="29"/>
      <c r="M91" s="50">
        <f t="shared" si="5"/>
        <v>76.41828</v>
      </c>
    </row>
    <row r="92" spans="1:13" s="19" customFormat="1" ht="21.75" customHeight="1">
      <c r="A92" s="41" t="s">
        <v>24</v>
      </c>
      <c r="B92" s="18" t="s">
        <v>15</v>
      </c>
      <c r="C92" s="25">
        <f>218.988-10.2+6.799+0.11+13.416-0.8</f>
        <v>228.31300000000002</v>
      </c>
      <c r="D92" s="25">
        <f>139.868-7.5+0.05+4.5</f>
        <v>136.918</v>
      </c>
      <c r="E92" s="25">
        <f>20.07-2</f>
        <v>18.07</v>
      </c>
      <c r="F92" s="25">
        <f>SUM(G92,J92)</f>
        <v>2.87</v>
      </c>
      <c r="G92" s="25">
        <v>2.87</v>
      </c>
      <c r="H92" s="71"/>
      <c r="I92" s="25"/>
      <c r="J92"/>
      <c r="K92"/>
      <c r="L92"/>
      <c r="M92" s="25">
        <f t="shared" si="5"/>
        <v>231.18300000000002</v>
      </c>
    </row>
    <row r="93" spans="1:13" s="19" customFormat="1" ht="15.75">
      <c r="A93" s="41"/>
      <c r="B93" s="18"/>
      <c r="C93" s="25"/>
      <c r="D93" s="25"/>
      <c r="E93" s="25"/>
      <c r="F93" s="71"/>
      <c r="G93" s="29"/>
      <c r="H93" s="29"/>
      <c r="I93" s="29"/>
      <c r="J93" s="29"/>
      <c r="K93" s="29"/>
      <c r="L93" s="29"/>
      <c r="M93" s="25"/>
    </row>
    <row r="94" spans="1:13" s="19" customFormat="1" ht="15.75">
      <c r="A94" s="41"/>
      <c r="B94" s="17" t="s">
        <v>8</v>
      </c>
      <c r="C94" s="28">
        <f>C91+C92+C87+C88+C89+C90</f>
        <v>3789.59558</v>
      </c>
      <c r="D94" s="28">
        <f aca="true" t="shared" si="6" ref="D94:L94">D91+D92+D87+D88+D89+D90</f>
        <v>2446.665</v>
      </c>
      <c r="E94" s="28">
        <f t="shared" si="6"/>
        <v>280.375</v>
      </c>
      <c r="F94" s="28">
        <f>F91+F92+F87+F88+F89+F90</f>
        <v>55.95</v>
      </c>
      <c r="G94" s="28">
        <f t="shared" si="6"/>
        <v>48.900000000000006</v>
      </c>
      <c r="H94" s="28">
        <f t="shared" si="6"/>
        <v>25.2</v>
      </c>
      <c r="I94" s="28">
        <f t="shared" si="6"/>
        <v>1.1</v>
      </c>
      <c r="J94" s="28">
        <f>J91+J92+J87+J88+J89+J90</f>
        <v>7.05</v>
      </c>
      <c r="K94" s="28">
        <f>K91+K92+K87+K88+K89+K90</f>
        <v>3.55</v>
      </c>
      <c r="L94" s="28">
        <f t="shared" si="6"/>
        <v>3.55</v>
      </c>
      <c r="M94" s="28">
        <f>C94+F94</f>
        <v>3845.54558</v>
      </c>
    </row>
    <row r="95" spans="1:13" s="19" customFormat="1" ht="18.75">
      <c r="A95" s="59">
        <v>120000</v>
      </c>
      <c r="B95" s="54" t="s">
        <v>142</v>
      </c>
      <c r="C95" s="25"/>
      <c r="D95" s="25"/>
      <c r="E95" s="25"/>
      <c r="F95" s="25"/>
      <c r="G95" s="29"/>
      <c r="H95" s="29"/>
      <c r="I95" s="29"/>
      <c r="J95" s="29"/>
      <c r="K95" s="71"/>
      <c r="L95" s="71"/>
      <c r="M95" s="25"/>
    </row>
    <row r="96" spans="1:13" s="19" customFormat="1" ht="15.75">
      <c r="A96" s="41" t="s">
        <v>18</v>
      </c>
      <c r="B96" s="18" t="s">
        <v>34</v>
      </c>
      <c r="C96" s="25"/>
      <c r="D96" s="25"/>
      <c r="E96" s="25"/>
      <c r="F96" s="25"/>
      <c r="G96" s="29"/>
      <c r="H96" s="29"/>
      <c r="I96" s="29"/>
      <c r="J96" s="29"/>
      <c r="K96" s="71"/>
      <c r="L96" s="71"/>
      <c r="M96" s="25"/>
    </row>
    <row r="97" spans="1:13" s="19" customFormat="1" ht="15.75">
      <c r="A97" s="41" t="s">
        <v>27</v>
      </c>
      <c r="B97" s="31" t="s">
        <v>25</v>
      </c>
      <c r="C97" s="25">
        <f>49.9+11.3-5.6-3</f>
        <v>52.6</v>
      </c>
      <c r="D97" s="25"/>
      <c r="E97" s="25"/>
      <c r="F97" s="71"/>
      <c r="G97" s="29"/>
      <c r="H97" s="29"/>
      <c r="I97" s="29"/>
      <c r="J97" s="29"/>
      <c r="K97" s="71"/>
      <c r="L97" s="71"/>
      <c r="M97" s="25">
        <f>C97+F97</f>
        <v>52.6</v>
      </c>
    </row>
    <row r="98" spans="1:13" s="19" customFormat="1" ht="15.75">
      <c r="A98" s="41" t="s">
        <v>35</v>
      </c>
      <c r="B98" s="31" t="s">
        <v>165</v>
      </c>
      <c r="C98" s="25">
        <f>15+17.8+1+10-25</f>
        <v>18.799999999999997</v>
      </c>
      <c r="D98" s="25"/>
      <c r="E98" s="25"/>
      <c r="F98" s="71"/>
      <c r="G98" s="29"/>
      <c r="H98" s="29"/>
      <c r="I98" s="29"/>
      <c r="J98" s="29"/>
      <c r="K98" s="71"/>
      <c r="L98" s="71"/>
      <c r="M98" s="25">
        <f>C98+F98</f>
        <v>18.799999999999997</v>
      </c>
    </row>
    <row r="99" spans="1:13" s="19" customFormat="1" ht="15.75">
      <c r="A99" s="42"/>
      <c r="B99" s="9" t="s">
        <v>2</v>
      </c>
      <c r="C99" s="28">
        <f>C96+C97+C98</f>
        <v>71.4</v>
      </c>
      <c r="D99" s="71"/>
      <c r="E99" s="71"/>
      <c r="F99" s="71"/>
      <c r="G99" s="71"/>
      <c r="H99" s="71"/>
      <c r="I99" s="71"/>
      <c r="J99" s="71"/>
      <c r="K99" s="71"/>
      <c r="L99" s="71"/>
      <c r="M99" s="28">
        <f>C99+F99</f>
        <v>71.4</v>
      </c>
    </row>
    <row r="100" spans="1:13" s="19" customFormat="1" ht="15.75">
      <c r="A100" s="43" t="s">
        <v>46</v>
      </c>
      <c r="B100" s="33" t="s">
        <v>47</v>
      </c>
      <c r="C100" s="28"/>
      <c r="D100" s="28"/>
      <c r="E100" s="28"/>
      <c r="F100" s="71"/>
      <c r="G100" s="71"/>
      <c r="H100" s="71"/>
      <c r="I100" s="71"/>
      <c r="J100" s="71"/>
      <c r="K100" s="71"/>
      <c r="L100" s="71"/>
      <c r="M100" s="25"/>
    </row>
    <row r="101" spans="1:13" s="19" customFormat="1" ht="15.75">
      <c r="A101" s="44" t="s">
        <v>160</v>
      </c>
      <c r="B101" s="32" t="s">
        <v>161</v>
      </c>
      <c r="C101" s="25">
        <f>7+4</f>
        <v>11</v>
      </c>
      <c r="D101" s="25"/>
      <c r="E101" s="25"/>
      <c r="F101" s="71"/>
      <c r="G101" s="71"/>
      <c r="H101" s="71"/>
      <c r="I101" s="71"/>
      <c r="J101" s="71"/>
      <c r="K101" s="71"/>
      <c r="L101" s="71"/>
      <c r="M101" s="25">
        <f>C101+F101</f>
        <v>11</v>
      </c>
    </row>
    <row r="102" spans="1:13" s="19" customFormat="1" ht="15.75">
      <c r="A102" s="44"/>
      <c r="B102" s="32"/>
      <c r="C102" s="28"/>
      <c r="D102" s="25"/>
      <c r="E102" s="25"/>
      <c r="F102" s="71"/>
      <c r="G102" s="71"/>
      <c r="H102" s="71"/>
      <c r="I102" s="71"/>
      <c r="J102" s="71"/>
      <c r="K102" s="71"/>
      <c r="L102" s="71"/>
      <c r="M102" s="25"/>
    </row>
    <row r="103" spans="1:13" s="19" customFormat="1" ht="30.75" customHeight="1">
      <c r="A103" s="49" t="s">
        <v>16</v>
      </c>
      <c r="B103" s="30" t="s">
        <v>143</v>
      </c>
      <c r="C103" s="25">
        <f>927.51+3.916+2.4+10.54-22.562</f>
        <v>921.804</v>
      </c>
      <c r="D103" s="25">
        <f>591.644+1.8-17.202</f>
        <v>576.242</v>
      </c>
      <c r="E103" s="25">
        <f>113.05-9</f>
        <v>104.05</v>
      </c>
      <c r="F103" s="71"/>
      <c r="G103" s="71"/>
      <c r="H103" s="71"/>
      <c r="I103" s="71"/>
      <c r="J103" s="71"/>
      <c r="K103" s="71"/>
      <c r="L103" s="71"/>
      <c r="M103" s="25">
        <f>C103+F103</f>
        <v>921.804</v>
      </c>
    </row>
    <row r="104" spans="1:13" s="19" customFormat="1" ht="46.5" customHeight="1" hidden="1">
      <c r="A104"/>
      <c r="B104"/>
      <c r="C104"/>
      <c r="D104"/>
      <c r="E104" s="25"/>
      <c r="F104" s="71"/>
      <c r="G104" s="71"/>
      <c r="H104" s="71"/>
      <c r="I104" s="71"/>
      <c r="J104" s="71"/>
      <c r="K104" s="71"/>
      <c r="L104" s="71"/>
      <c r="M104" s="25">
        <f>C104+F104</f>
        <v>0</v>
      </c>
    </row>
    <row r="105" spans="1:13" s="19" customFormat="1" ht="31.5">
      <c r="A105" s="45" t="s">
        <v>17</v>
      </c>
      <c r="B105" s="32" t="s">
        <v>156</v>
      </c>
      <c r="C105" s="25">
        <f>43.5+21</f>
        <v>64.5</v>
      </c>
      <c r="D105" s="25"/>
      <c r="E105" s="25"/>
      <c r="F105" s="29"/>
      <c r="G105" s="29"/>
      <c r="H105" s="29"/>
      <c r="I105" s="29"/>
      <c r="J105" s="29"/>
      <c r="K105" s="29"/>
      <c r="L105" s="29"/>
      <c r="M105" s="25">
        <f>SUM(C105,F105)</f>
        <v>64.5</v>
      </c>
    </row>
    <row r="106" spans="1:13" s="19" customFormat="1" ht="15.75">
      <c r="A106" s="47"/>
      <c r="B106" s="17" t="s">
        <v>8</v>
      </c>
      <c r="C106" s="28">
        <f>C101+C102+C103+C104+C105</f>
        <v>997.304</v>
      </c>
      <c r="D106" s="28">
        <f>D101+D102+D103+D104+D105</f>
        <v>576.242</v>
      </c>
      <c r="E106" s="28">
        <f>E101+E102+E103+E104+E105</f>
        <v>104.05</v>
      </c>
      <c r="F106" s="8"/>
      <c r="G106" s="8"/>
      <c r="H106" s="8"/>
      <c r="I106" s="8"/>
      <c r="J106" s="8"/>
      <c r="K106" s="8"/>
      <c r="L106" s="8"/>
      <c r="M106" s="25">
        <f>C106+F106</f>
        <v>997.304</v>
      </c>
    </row>
    <row r="107" spans="1:13" ht="39.75" customHeight="1">
      <c r="A107" s="59">
        <v>170000</v>
      </c>
      <c r="B107" s="54" t="s">
        <v>150</v>
      </c>
      <c r="C107" s="28"/>
      <c r="D107" s="28"/>
      <c r="E107" s="28"/>
      <c r="F107" s="28"/>
      <c r="G107" s="28"/>
      <c r="H107" s="28"/>
      <c r="I107" s="28"/>
      <c r="J107" s="28"/>
      <c r="K107" s="28"/>
      <c r="L107" s="28"/>
      <c r="M107" s="28"/>
    </row>
    <row r="108" spans="1:13" ht="57.75" customHeight="1">
      <c r="A108" s="41" t="s">
        <v>151</v>
      </c>
      <c r="B108" s="18" t="s">
        <v>152</v>
      </c>
      <c r="C108" s="25">
        <f>54+1</f>
        <v>55</v>
      </c>
      <c r="D108" s="28"/>
      <c r="E108" s="28"/>
      <c r="F108" s="28"/>
      <c r="G108" s="28"/>
      <c r="H108" s="28"/>
      <c r="I108" s="28"/>
      <c r="J108" s="28"/>
      <c r="K108" s="28"/>
      <c r="L108" s="28"/>
      <c r="M108" s="25">
        <f>C108+F108</f>
        <v>55</v>
      </c>
    </row>
    <row r="109" spans="1:13" ht="52.5" customHeight="1">
      <c r="A109" s="41" t="s">
        <v>153</v>
      </c>
      <c r="B109" s="18" t="s">
        <v>154</v>
      </c>
      <c r="C109" s="25">
        <f>137.9-0.5-33.9</f>
        <v>103.5</v>
      </c>
      <c r="D109" s="28"/>
      <c r="E109" s="28"/>
      <c r="F109" s="28"/>
      <c r="G109" s="28"/>
      <c r="H109" s="28"/>
      <c r="I109" s="28"/>
      <c r="J109" s="28"/>
      <c r="K109" s="28"/>
      <c r="L109" s="28"/>
      <c r="M109" s="25">
        <f>C109+F109</f>
        <v>103.5</v>
      </c>
    </row>
    <row r="110" spans="1:13" ht="52.5" customHeight="1">
      <c r="A110" s="41" t="s">
        <v>193</v>
      </c>
      <c r="B110" s="37" t="s">
        <v>194</v>
      </c>
      <c r="C110" s="25"/>
      <c r="D110" s="28"/>
      <c r="E110" s="28"/>
      <c r="F110" s="25">
        <f>G110+J110</f>
        <v>359.2</v>
      </c>
      <c r="G110" s="25">
        <v>114.8</v>
      </c>
      <c r="H110" s="25"/>
      <c r="I110" s="25"/>
      <c r="J110" s="25">
        <v>244.4</v>
      </c>
      <c r="K110" s="28"/>
      <c r="L110" s="28"/>
      <c r="M110" s="25">
        <f>C110+F110</f>
        <v>359.2</v>
      </c>
    </row>
    <row r="111" spans="1:13" ht="28.5" customHeight="1">
      <c r="A111" s="59"/>
      <c r="B111" s="67" t="s">
        <v>8</v>
      </c>
      <c r="C111" s="28">
        <f>C108+C109</f>
        <v>158.5</v>
      </c>
      <c r="D111" s="71"/>
      <c r="E111" s="71"/>
      <c r="F111" s="28">
        <f>F108+F109+F110</f>
        <v>359.2</v>
      </c>
      <c r="G111" s="28">
        <f>G108+G109+G110</f>
        <v>114.8</v>
      </c>
      <c r="H111" s="28"/>
      <c r="I111" s="28"/>
      <c r="J111" s="28">
        <f>J108+J109+J110</f>
        <v>244.4</v>
      </c>
      <c r="K111" s="71"/>
      <c r="L111" s="71"/>
      <c r="M111" s="28">
        <f>C111+F111</f>
        <v>517.7</v>
      </c>
    </row>
    <row r="112" spans="1:13" ht="28.5" customHeight="1">
      <c r="A112" s="59">
        <v>180000</v>
      </c>
      <c r="B112" s="67" t="s">
        <v>205</v>
      </c>
      <c r="C112" s="28"/>
      <c r="D112" s="71"/>
      <c r="E112" s="71"/>
      <c r="F112" s="28"/>
      <c r="G112" s="28"/>
      <c r="H112" s="28"/>
      <c r="I112" s="28"/>
      <c r="J112" s="28"/>
      <c r="K112" s="71"/>
      <c r="L112" s="71"/>
      <c r="M112" s="28"/>
    </row>
    <row r="113" spans="1:13" ht="34.5" customHeight="1">
      <c r="A113" s="36">
        <v>180109</v>
      </c>
      <c r="B113" s="83" t="s">
        <v>206</v>
      </c>
      <c r="C113" s="25">
        <v>1.118</v>
      </c>
      <c r="D113" s="71"/>
      <c r="E113" s="71"/>
      <c r="F113" s="28"/>
      <c r="G113" s="28"/>
      <c r="H113" s="28"/>
      <c r="I113" s="28"/>
      <c r="J113" s="28"/>
      <c r="K113" s="71"/>
      <c r="L113" s="71"/>
      <c r="M113" s="25">
        <f>C113+F113</f>
        <v>1.118</v>
      </c>
    </row>
    <row r="114" spans="1:13" ht="28.5" customHeight="1">
      <c r="A114" s="59"/>
      <c r="B114" s="67" t="s">
        <v>8</v>
      </c>
      <c r="C114" s="28">
        <v>1.118</v>
      </c>
      <c r="D114" s="85"/>
      <c r="E114" s="85"/>
      <c r="F114" s="28"/>
      <c r="G114" s="28"/>
      <c r="H114" s="28"/>
      <c r="I114" s="28"/>
      <c r="J114" s="28"/>
      <c r="K114" s="85"/>
      <c r="L114" s="85"/>
      <c r="M114" s="28">
        <f>C114+F114</f>
        <v>1.118</v>
      </c>
    </row>
    <row r="115" spans="1:13" ht="36" customHeight="1">
      <c r="A115" s="59">
        <v>210000</v>
      </c>
      <c r="B115" s="60" t="s">
        <v>144</v>
      </c>
      <c r="C115" s="25"/>
      <c r="D115" s="71"/>
      <c r="E115" s="71"/>
      <c r="F115" s="71"/>
      <c r="G115" s="71"/>
      <c r="H115" s="71"/>
      <c r="I115" s="71"/>
      <c r="J115" s="71"/>
      <c r="K115" s="71"/>
      <c r="L115" s="71"/>
      <c r="M115" s="28"/>
    </row>
    <row r="116" spans="1:13" ht="30.75" customHeight="1">
      <c r="A116" s="64" t="s">
        <v>48</v>
      </c>
      <c r="B116" s="61" t="s">
        <v>145</v>
      </c>
      <c r="C116" s="50">
        <f>15+7.38572+13.373</f>
        <v>35.75872</v>
      </c>
      <c r="D116" s="71"/>
      <c r="E116" s="71"/>
      <c r="F116" s="71"/>
      <c r="G116" s="71"/>
      <c r="H116" s="71"/>
      <c r="I116" s="71"/>
      <c r="J116" s="71"/>
      <c r="K116" s="71"/>
      <c r="L116" s="28"/>
      <c r="M116" s="50">
        <f>C116+F116</f>
        <v>35.75872</v>
      </c>
    </row>
    <row r="117" spans="1:13" ht="20.25" customHeight="1">
      <c r="A117" s="62"/>
      <c r="B117" s="63" t="s">
        <v>8</v>
      </c>
      <c r="C117" s="72">
        <f>C116</f>
        <v>35.75872</v>
      </c>
      <c r="D117" s="71"/>
      <c r="E117" s="71"/>
      <c r="F117" s="71"/>
      <c r="G117" s="71"/>
      <c r="H117" s="71"/>
      <c r="I117" s="71"/>
      <c r="J117" s="71"/>
      <c r="K117" s="71"/>
      <c r="L117" s="25"/>
      <c r="M117" s="72">
        <f>C117+F117</f>
        <v>35.75872</v>
      </c>
    </row>
    <row r="118" spans="1:13" ht="20.25" customHeight="1">
      <c r="A118" s="59">
        <v>240000</v>
      </c>
      <c r="B118" s="63" t="s">
        <v>195</v>
      </c>
      <c r="C118" s="80"/>
      <c r="D118" s="81"/>
      <c r="E118" s="81"/>
      <c r="F118" s="81"/>
      <c r="G118" s="81"/>
      <c r="H118" s="71"/>
      <c r="I118" s="71"/>
      <c r="J118" s="71"/>
      <c r="K118" s="71"/>
      <c r="L118" s="25"/>
      <c r="M118" s="28"/>
    </row>
    <row r="119" spans="1:13" ht="24" customHeight="1">
      <c r="A119" s="36">
        <v>240601</v>
      </c>
      <c r="B119" s="83" t="s">
        <v>196</v>
      </c>
      <c r="C119" s="80"/>
      <c r="D119" s="81"/>
      <c r="E119" s="81"/>
      <c r="F119" s="82">
        <f>G119+J119</f>
        <v>40.9</v>
      </c>
      <c r="G119" s="82">
        <v>40.9</v>
      </c>
      <c r="H119" s="71"/>
      <c r="I119" s="71"/>
      <c r="J119" s="71"/>
      <c r="K119" s="71"/>
      <c r="L119" s="25"/>
      <c r="M119" s="25">
        <f>C119+F119</f>
        <v>40.9</v>
      </c>
    </row>
    <row r="120" spans="1:13" ht="20.25" customHeight="1">
      <c r="A120" s="36"/>
      <c r="B120" s="63" t="s">
        <v>8</v>
      </c>
      <c r="C120" s="80"/>
      <c r="D120" s="81"/>
      <c r="E120" s="81"/>
      <c r="F120" s="81">
        <f>G120+J120</f>
        <v>40.9</v>
      </c>
      <c r="G120" s="81">
        <v>40.9</v>
      </c>
      <c r="H120" s="71"/>
      <c r="I120" s="71"/>
      <c r="J120" s="71"/>
      <c r="K120" s="71"/>
      <c r="L120" s="25"/>
      <c r="M120" s="28">
        <f>C120+F120</f>
        <v>40.9</v>
      </c>
    </row>
    <row r="121" spans="1:13" ht="20.25" customHeight="1">
      <c r="A121" s="59">
        <v>250000</v>
      </c>
      <c r="B121" s="63" t="s">
        <v>170</v>
      </c>
      <c r="C121" s="28"/>
      <c r="D121" s="71"/>
      <c r="E121" s="71"/>
      <c r="F121" s="71"/>
      <c r="G121" s="71"/>
      <c r="H121" s="71"/>
      <c r="I121" s="71"/>
      <c r="J121" s="71"/>
      <c r="K121" s="71"/>
      <c r="L121" s="25"/>
      <c r="M121" s="28"/>
    </row>
    <row r="122" spans="1:13" ht="14.25" customHeight="1">
      <c r="A122"/>
      <c r="B122"/>
      <c r="C122"/>
      <c r="D122"/>
      <c r="E122"/>
      <c r="F122"/>
      <c r="G122"/>
      <c r="H122"/>
      <c r="I122"/>
      <c r="J122"/>
      <c r="K122"/>
      <c r="L122"/>
      <c r="M122"/>
    </row>
    <row r="123" spans="1:13" ht="47.25" customHeight="1">
      <c r="A123" s="36">
        <v>250311</v>
      </c>
      <c r="B123" s="37" t="s">
        <v>167</v>
      </c>
      <c r="C123" s="25">
        <v>6465.98</v>
      </c>
      <c r="D123" s="25"/>
      <c r="E123" s="25"/>
      <c r="F123" s="71"/>
      <c r="G123" s="71"/>
      <c r="H123" s="71"/>
      <c r="I123" s="71"/>
      <c r="J123" s="71"/>
      <c r="K123" s="71"/>
      <c r="L123" s="25"/>
      <c r="M123" s="25">
        <f aca="true" t="shared" si="7" ref="M123:M135">C123+F123</f>
        <v>6465.98</v>
      </c>
    </row>
    <row r="124" spans="1:13" ht="32.25" customHeight="1">
      <c r="A124" s="41" t="s">
        <v>106</v>
      </c>
      <c r="B124" s="26" t="s">
        <v>168</v>
      </c>
      <c r="C124" s="25">
        <v>124.5</v>
      </c>
      <c r="D124" s="25"/>
      <c r="E124" s="25"/>
      <c r="F124" s="71"/>
      <c r="G124" s="71"/>
      <c r="H124" s="71"/>
      <c r="I124" s="71"/>
      <c r="J124" s="71"/>
      <c r="K124" s="71"/>
      <c r="L124" s="25"/>
      <c r="M124" s="25">
        <f t="shared" si="7"/>
        <v>124.5</v>
      </c>
    </row>
    <row r="125" spans="1:13" ht="64.5" customHeight="1" hidden="1">
      <c r="A125" s="41"/>
      <c r="B125" s="26"/>
      <c r="C125" s="25"/>
      <c r="D125" s="25"/>
      <c r="E125" s="25"/>
      <c r="F125" s="71"/>
      <c r="G125" s="71"/>
      <c r="H125" s="71"/>
      <c r="I125" s="71"/>
      <c r="J125" s="71"/>
      <c r="K125" s="71"/>
      <c r="L125" s="25"/>
      <c r="M125" s="25">
        <f t="shared" si="7"/>
        <v>0</v>
      </c>
    </row>
    <row r="126" spans="1:13" ht="31.5" customHeight="1">
      <c r="A126" s="41" t="s">
        <v>191</v>
      </c>
      <c r="B126" s="79" t="s">
        <v>192</v>
      </c>
      <c r="C126" s="25">
        <f>303.5+17.7</f>
        <v>321.2</v>
      </c>
      <c r="D126" s="25"/>
      <c r="E126" s="25"/>
      <c r="F126" s="71"/>
      <c r="G126" s="71"/>
      <c r="H126" s="71"/>
      <c r="I126" s="71"/>
      <c r="J126" s="71"/>
      <c r="K126" s="71"/>
      <c r="L126" s="25"/>
      <c r="M126" s="25">
        <f t="shared" si="7"/>
        <v>321.2</v>
      </c>
    </row>
    <row r="127" spans="1:13" ht="52.5" customHeight="1">
      <c r="A127" s="41" t="s">
        <v>199</v>
      </c>
      <c r="B127" s="84" t="s">
        <v>200</v>
      </c>
      <c r="C127" s="25">
        <v>18</v>
      </c>
      <c r="D127" s="25"/>
      <c r="E127" s="25"/>
      <c r="F127" s="71"/>
      <c r="G127" s="71"/>
      <c r="H127" s="71"/>
      <c r="I127" s="71"/>
      <c r="J127" s="71"/>
      <c r="K127" s="71"/>
      <c r="L127" s="25"/>
      <c r="M127" s="25">
        <f t="shared" si="7"/>
        <v>18</v>
      </c>
    </row>
    <row r="128" spans="1:13" ht="52.5" customHeight="1">
      <c r="A128" s="41" t="s">
        <v>173</v>
      </c>
      <c r="B128" s="26" t="s">
        <v>174</v>
      </c>
      <c r="C128" s="25"/>
      <c r="D128" s="25"/>
      <c r="E128" s="25"/>
      <c r="F128" s="25">
        <f>G128+J128</f>
        <v>870.5</v>
      </c>
      <c r="G128" s="69">
        <f>278.6-0.4</f>
        <v>278.20000000000005</v>
      </c>
      <c r="H128" s="8"/>
      <c r="I128" s="8"/>
      <c r="J128" s="69">
        <f>591.9+0.4</f>
        <v>592.3</v>
      </c>
      <c r="K128" s="73"/>
      <c r="L128" s="69"/>
      <c r="M128" s="25">
        <f t="shared" si="7"/>
        <v>870.5</v>
      </c>
    </row>
    <row r="129" spans="1:13" ht="22.5" customHeight="1">
      <c r="A129" s="41" t="s">
        <v>178</v>
      </c>
      <c r="B129" s="26" t="s">
        <v>179</v>
      </c>
      <c r="C129" s="25">
        <f>23.1+5</f>
        <v>28.1</v>
      </c>
      <c r="D129" s="25"/>
      <c r="E129" s="25"/>
      <c r="F129" s="25">
        <f>G129+J129</f>
        <v>12.6</v>
      </c>
      <c r="G129" s="69">
        <v>12.6</v>
      </c>
      <c r="H129" s="8"/>
      <c r="I129" s="8"/>
      <c r="J129" s="69"/>
      <c r="K129" s="73"/>
      <c r="L129" s="69"/>
      <c r="M129" s="25">
        <f t="shared" si="7"/>
        <v>40.7</v>
      </c>
    </row>
    <row r="130" spans="1:13" ht="66" customHeight="1">
      <c r="A130" s="41" t="s">
        <v>184</v>
      </c>
      <c r="B130" s="75" t="s">
        <v>185</v>
      </c>
      <c r="C130" s="25">
        <v>296.6</v>
      </c>
      <c r="D130" s="25"/>
      <c r="E130" s="25"/>
      <c r="F130" s="25"/>
      <c r="G130" s="20"/>
      <c r="H130" s="8"/>
      <c r="I130" s="8"/>
      <c r="J130" s="69"/>
      <c r="K130" s="73"/>
      <c r="L130" s="69"/>
      <c r="M130" s="25">
        <f t="shared" si="7"/>
        <v>296.6</v>
      </c>
    </row>
    <row r="131" spans="1:13" ht="24.75" customHeight="1">
      <c r="A131" s="66" t="s">
        <v>22</v>
      </c>
      <c r="B131" s="65" t="s">
        <v>146</v>
      </c>
      <c r="C131" s="25">
        <f>59.8+1+20+45+6.6-15</f>
        <v>117.4</v>
      </c>
      <c r="D131" s="25"/>
      <c r="E131" s="25"/>
      <c r="F131" s="25">
        <f>G131+J131</f>
        <v>0</v>
      </c>
      <c r="G131" s="25"/>
      <c r="H131" s="25"/>
      <c r="I131" s="25"/>
      <c r="J131"/>
      <c r="K131"/>
      <c r="L131"/>
      <c r="M131" s="25">
        <f t="shared" si="7"/>
        <v>117.4</v>
      </c>
    </row>
    <row r="132" spans="1:13" ht="19.5" customHeight="1">
      <c r="A132" s="41"/>
      <c r="B132" s="38" t="s">
        <v>2</v>
      </c>
      <c r="C132" s="68">
        <f>C122+C123+C124+C131+C128+C130+C126+C129+C127</f>
        <v>7371.78</v>
      </c>
      <c r="D132" s="68">
        <f>D122+D123+D124+D131+D128+D130+D126+D129+D127</f>
        <v>0</v>
      </c>
      <c r="E132" s="68">
        <f>E122+E123+E124+E131+E128+E130+E126+E129+E127</f>
        <v>0</v>
      </c>
      <c r="F132" s="68">
        <f>G132+J132</f>
        <v>883.1</v>
      </c>
      <c r="G132" s="68">
        <f aca="true" t="shared" si="8" ref="G132:L132">G122+G123+G124+G131+G128+G129</f>
        <v>290.80000000000007</v>
      </c>
      <c r="H132" s="68">
        <f t="shared" si="8"/>
        <v>0</v>
      </c>
      <c r="I132" s="68">
        <f t="shared" si="8"/>
        <v>0</v>
      </c>
      <c r="J132" s="68">
        <f t="shared" si="8"/>
        <v>592.3</v>
      </c>
      <c r="K132" s="68">
        <f t="shared" si="8"/>
        <v>0</v>
      </c>
      <c r="L132" s="68">
        <f t="shared" si="8"/>
        <v>0</v>
      </c>
      <c r="M132" s="28">
        <f>C132+F132</f>
        <v>8254.88</v>
      </c>
    </row>
    <row r="133" spans="1:13" ht="61.5" customHeight="1" hidden="1">
      <c r="A133" s="41"/>
      <c r="B133" s="37"/>
      <c r="C133" s="25"/>
      <c r="D133" s="25"/>
      <c r="E133" s="25"/>
      <c r="F133" s="25">
        <f>G133+J133</f>
        <v>0</v>
      </c>
      <c r="G133" s="25"/>
      <c r="H133" s="25"/>
      <c r="I133" s="25"/>
      <c r="J133" s="25"/>
      <c r="K133" s="25"/>
      <c r="L133" s="25"/>
      <c r="M133" s="25">
        <f t="shared" si="7"/>
        <v>0</v>
      </c>
    </row>
    <row r="134" spans="1:14" ht="18.75">
      <c r="A134" s="40"/>
      <c r="B134" s="24" t="s">
        <v>122</v>
      </c>
      <c r="C134" s="28">
        <f>C16+C27+C35+C85+C94+C99+C106+C132+C111+C117+C114</f>
        <v>128924.48929999999</v>
      </c>
      <c r="D134" s="28">
        <f>D16+D27+D35+D85+D94+D99+D106+D132+D111+D117</f>
        <v>43991.861</v>
      </c>
      <c r="E134" s="28">
        <f>E16+E27+E35+E85+E94+E99+E106+E132+E111+E117</f>
        <v>7871.277</v>
      </c>
      <c r="F134" s="28">
        <f>G134+J134</f>
        <v>2399.9280000000003</v>
      </c>
      <c r="G134" s="28">
        <f>G16+G27+G35+G85+G94+G99+G106+G132+G111+G117+G120</f>
        <v>938.5500000000001</v>
      </c>
      <c r="H134" s="28">
        <f>H16+H27+H35+H85+H94+H99+H106+H132+H111+H117</f>
        <v>132.2</v>
      </c>
      <c r="I134" s="28">
        <f>I16+I27+I35+I85+I94+I99+I106+I132+I111+I117</f>
        <v>1.1</v>
      </c>
      <c r="J134" s="28">
        <f>J16+J27+J35+J85+J94+J99+J106+J132+J111+J117</f>
        <v>1461.3780000000002</v>
      </c>
      <c r="K134" s="28">
        <f>K16+K27+K35+K85+K94+K99+K106+K132+K111+K117</f>
        <v>621.178</v>
      </c>
      <c r="L134" s="28">
        <f>L16+L27+L35+L85+L94+L99+L106+L132+L111+L117</f>
        <v>604.178</v>
      </c>
      <c r="M134" s="28">
        <f t="shared" si="7"/>
        <v>131324.4173</v>
      </c>
      <c r="N134" s="22"/>
    </row>
    <row r="135" spans="1:14" ht="31.5">
      <c r="A135" s="40"/>
      <c r="B135" s="10" t="s">
        <v>107</v>
      </c>
      <c r="C135" s="25">
        <f>C37+C38+C39+C40+C42+C44+C45+C46+C47+C48+C50+C51+C52+C53+C54+C55+C56+C57+C58+C59+C60+C61+C62+C76+C108+C109+C128+C26+C130+C30+C32</f>
        <v>46465.34499999999</v>
      </c>
      <c r="D135" s="50"/>
      <c r="E135" s="50"/>
      <c r="F135" s="25">
        <f>G135+J135</f>
        <v>1231.1</v>
      </c>
      <c r="G135" s="25">
        <f>G37+G38+G39+G40+G42+G44+G45+G46+G47+G48+G50+G51+G52+G53+G54+G55+G56+G57+G58+G59+G60+G61+G62+G76+G108+G109+G128+G26+G111</f>
        <v>393.00000000000006</v>
      </c>
      <c r="H135" s="25">
        <f>H37+H38+H39+H40+H42+H44+H45+H46+H47+H48+H50+H51+H52+H53+H54+H55+H56+H57+H58+H59+H60+H61+H62+H76+H108+H109+H128+H26</f>
        <v>0</v>
      </c>
      <c r="I135" s="25">
        <f>I37+I38+I39+I40+I42+I44+I45+I46+I47+I48+I50+I51+I52+I53+I54+I55+I56+I57+I58+I59+I60+I61+I62+I76+I108+I109+I128+I26</f>
        <v>0</v>
      </c>
      <c r="J135" s="25">
        <f>J37+J38+J39+J40+J42+J44+J45+J46+J47+J48+J50+J51+J52+J53+J54+J55+J56+J57+J58+J59+J60+J61+J62+J76+J108+J109+J128+J26+J111</f>
        <v>838.0999999999999</v>
      </c>
      <c r="K135" s="25">
        <f>K37+K38+K39+K40+K42+K44+K45+K46+K47+K48+K50+K51+K52+K53+K54+K55+K56+K57+K58+K59+K60+K61+K62+K76+K108+K109+K128+K26+K111</f>
        <v>1.4</v>
      </c>
      <c r="L135" s="25">
        <f>L37+L38+L39+L40+L42+L44+L45+L46+L47+L48+L50+L51+L52+L53+L54+L55+L56+L57+L58+L59+L60+L61+L62+L76+L108+L109+L128+L26+L111</f>
        <v>1.4</v>
      </c>
      <c r="M135" s="25">
        <f t="shared" si="7"/>
        <v>47696.444999999985</v>
      </c>
      <c r="N135" s="22"/>
    </row>
    <row r="136" spans="1:14" ht="15.75">
      <c r="A136" s="40"/>
      <c r="B136" s="10"/>
      <c r="C136" s="25"/>
      <c r="D136" s="50"/>
      <c r="E136" s="50"/>
      <c r="F136" s="25"/>
      <c r="G136" s="25"/>
      <c r="H136" s="25"/>
      <c r="I136" s="25"/>
      <c r="J136" s="25"/>
      <c r="K136" s="25"/>
      <c r="L136" s="25"/>
      <c r="M136" s="25"/>
      <c r="N136" s="22"/>
    </row>
    <row r="137" spans="1:13" ht="21.75" customHeight="1">
      <c r="A137" s="7"/>
      <c r="B137" s="89" t="s">
        <v>197</v>
      </c>
      <c r="C137" s="89"/>
      <c r="D137" s="8"/>
      <c r="F137" s="71"/>
      <c r="G137" s="48" t="s">
        <v>198</v>
      </c>
      <c r="H137" s="71"/>
      <c r="I137" s="16"/>
      <c r="J137" s="12"/>
      <c r="K137" s="12"/>
      <c r="L137" s="16" t="s">
        <v>101</v>
      </c>
      <c r="M137" s="12"/>
    </row>
    <row r="138" spans="1:13" ht="12.75" customHeight="1">
      <c r="A138" s="7"/>
      <c r="B138" s="9"/>
      <c r="C138" s="20"/>
      <c r="D138" s="20"/>
      <c r="E138" s="20"/>
      <c r="F138" s="12"/>
      <c r="G138" s="12"/>
      <c r="H138" s="12"/>
      <c r="I138" s="12"/>
      <c r="J138" s="12"/>
      <c r="K138" s="12"/>
      <c r="L138" s="12"/>
      <c r="M138" s="12"/>
    </row>
    <row r="139" spans="1:5" ht="15.75" hidden="1">
      <c r="A139" s="7"/>
      <c r="B139" s="10"/>
      <c r="C139" s="22"/>
      <c r="D139" s="22"/>
      <c r="E139" s="22"/>
    </row>
    <row r="140" spans="1:13" ht="15.75" hidden="1">
      <c r="A140" s="7"/>
      <c r="B140" s="14"/>
      <c r="C140" s="21"/>
      <c r="D140" s="21"/>
      <c r="E140" s="21"/>
      <c r="F140" s="15">
        <f>SUM(G140,J140)</f>
        <v>3.8</v>
      </c>
      <c r="G140" s="15">
        <f>SUM(G15)</f>
        <v>1.8</v>
      </c>
      <c r="H140" s="15">
        <f>SUM(H15)</f>
        <v>0</v>
      </c>
      <c r="I140" s="15">
        <f>SUM(I15)</f>
        <v>0</v>
      </c>
      <c r="J140" s="15">
        <f>SUM(J15)</f>
        <v>2</v>
      </c>
      <c r="K140" s="15"/>
      <c r="L140" s="15"/>
      <c r="M140" s="15" t="e">
        <f>SUM(#REF!,F140)</f>
        <v>#REF!</v>
      </c>
    </row>
    <row r="141" spans="1:13" ht="15.75" hidden="1">
      <c r="A141" s="7"/>
      <c r="B141" s="14"/>
      <c r="C141" s="21"/>
      <c r="D141" s="21"/>
      <c r="E141" s="21"/>
      <c r="F141" s="15" t="e">
        <f aca="true" t="shared" si="9" ref="F141:F160">SUM(G141,J141)</f>
        <v>#REF!</v>
      </c>
      <c r="G141" s="15" t="e">
        <f>SUM(#REF!)</f>
        <v>#REF!</v>
      </c>
      <c r="H141" s="15" t="e">
        <f>SUM(#REF!)</f>
        <v>#REF!</v>
      </c>
      <c r="I141" s="15" t="e">
        <f>SUM(#REF!)</f>
        <v>#REF!</v>
      </c>
      <c r="J141" s="15" t="e">
        <f>SUM(#REF!)</f>
        <v>#REF!</v>
      </c>
      <c r="K141" s="15"/>
      <c r="L141" s="15"/>
      <c r="M141" s="15" t="e">
        <f>SUM(#REF!,F141)</f>
        <v>#REF!</v>
      </c>
    </row>
    <row r="142" spans="1:13" ht="15.75" hidden="1">
      <c r="A142" s="7"/>
      <c r="B142" s="14"/>
      <c r="C142" s="21"/>
      <c r="D142" s="21"/>
      <c r="E142" s="21"/>
      <c r="F142" s="15" t="e">
        <f t="shared" si="9"/>
        <v>#REF!</v>
      </c>
      <c r="G142" s="15" t="e">
        <f>SUM(#REF!,#REF!,#REF!,#REF!,#REF!)</f>
        <v>#REF!</v>
      </c>
      <c r="H142" s="15" t="e">
        <f>SUM(#REF!,#REF!,#REF!,#REF!,#REF!)</f>
        <v>#REF!</v>
      </c>
      <c r="I142" s="15" t="e">
        <f>SUM(#REF!,#REF!,#REF!,#REF!,#REF!)</f>
        <v>#REF!</v>
      </c>
      <c r="J142" s="15" t="e">
        <f>SUM(#REF!,#REF!,#REF!,#REF!,#REF!)</f>
        <v>#REF!</v>
      </c>
      <c r="K142" s="15"/>
      <c r="L142" s="15"/>
      <c r="M142" s="15" t="e">
        <f>SUM(#REF!,F142)</f>
        <v>#REF!</v>
      </c>
    </row>
    <row r="143" spans="1:13" ht="15.75" hidden="1">
      <c r="A143" s="7"/>
      <c r="B143" s="14"/>
      <c r="C143" s="21"/>
      <c r="D143" s="21"/>
      <c r="E143" s="21"/>
      <c r="F143" s="15" t="e">
        <f t="shared" si="9"/>
        <v>#REF!</v>
      </c>
      <c r="G143" s="15" t="e">
        <f>SUM(#REF!)</f>
        <v>#REF!</v>
      </c>
      <c r="H143" s="15" t="e">
        <f>SUM(#REF!)</f>
        <v>#REF!</v>
      </c>
      <c r="I143" s="15" t="e">
        <f>SUM(#REF!)</f>
        <v>#REF!</v>
      </c>
      <c r="J143" s="15" t="e">
        <f>SUM(#REF!)</f>
        <v>#REF!</v>
      </c>
      <c r="K143" s="15"/>
      <c r="L143" s="15"/>
      <c r="M143" s="15" t="e">
        <f>SUM(#REF!,F143)</f>
        <v>#REF!</v>
      </c>
    </row>
    <row r="144" spans="1:13" ht="15.75" hidden="1">
      <c r="A144" s="7"/>
      <c r="B144" s="14"/>
      <c r="C144" s="21"/>
      <c r="D144" s="21"/>
      <c r="E144" s="21"/>
      <c r="F144" s="15" t="e">
        <f t="shared" si="9"/>
        <v>#REF!</v>
      </c>
      <c r="G144" s="15" t="e">
        <f>SUM(#REF!,#REF!)</f>
        <v>#REF!</v>
      </c>
      <c r="H144" s="15" t="e">
        <f>SUM(#REF!,#REF!)</f>
        <v>#REF!</v>
      </c>
      <c r="I144" s="15" t="e">
        <f>SUM(#REF!,#REF!)</f>
        <v>#REF!</v>
      </c>
      <c r="J144" s="15" t="e">
        <f>SUM(#REF!,#REF!)</f>
        <v>#REF!</v>
      </c>
      <c r="K144" s="15"/>
      <c r="L144" s="15"/>
      <c r="M144" s="15" t="e">
        <f>SUM(#REF!,F144)</f>
        <v>#REF!</v>
      </c>
    </row>
    <row r="145" spans="1:13" ht="12.75" customHeight="1" hidden="1">
      <c r="A145" s="7"/>
      <c r="B145" s="14"/>
      <c r="C145" s="21"/>
      <c r="D145" s="21"/>
      <c r="E145" s="21"/>
      <c r="F145" s="15" t="e">
        <f>SUM(#REF!)</f>
        <v>#REF!</v>
      </c>
      <c r="G145" s="15" t="e">
        <f>SUM(#REF!)</f>
        <v>#REF!</v>
      </c>
      <c r="H145" s="15" t="e">
        <f>SUM(#REF!)</f>
        <v>#REF!</v>
      </c>
      <c r="I145" s="15" t="e">
        <f>SUM(#REF!)</f>
        <v>#REF!</v>
      </c>
      <c r="J145" s="15" t="e">
        <f>SUM(#REF!)</f>
        <v>#REF!</v>
      </c>
      <c r="K145" s="15"/>
      <c r="L145" s="15"/>
      <c r="M145" s="15" t="e">
        <f>SUM(#REF!,F145)</f>
        <v>#REF!</v>
      </c>
    </row>
    <row r="146" spans="1:13" ht="15.75" hidden="1">
      <c r="A146" s="7"/>
      <c r="B146" s="14"/>
      <c r="C146" s="21"/>
      <c r="D146" s="21"/>
      <c r="E146" s="21"/>
      <c r="F146" s="15" t="e">
        <f t="shared" si="9"/>
        <v>#REF!</v>
      </c>
      <c r="G146" s="15" t="e">
        <f>SUM(#REF!,#REF!)</f>
        <v>#REF!</v>
      </c>
      <c r="H146" s="15" t="e">
        <f>SUM(#REF!,#REF!)</f>
        <v>#REF!</v>
      </c>
      <c r="I146" s="15" t="e">
        <f>SUM(#REF!,#REF!)</f>
        <v>#REF!</v>
      </c>
      <c r="J146" s="15" t="e">
        <f>SUM(#REF!,#REF!)</f>
        <v>#REF!</v>
      </c>
      <c r="K146" s="15"/>
      <c r="L146" s="15"/>
      <c r="M146" s="15" t="e">
        <f>SUM(#REF!,F146)</f>
        <v>#REF!</v>
      </c>
    </row>
    <row r="147" spans="1:13" ht="15.75" hidden="1">
      <c r="A147" s="7"/>
      <c r="B147" s="14"/>
      <c r="C147" s="21"/>
      <c r="D147" s="21"/>
      <c r="E147" s="21"/>
      <c r="F147" s="15" t="e">
        <f t="shared" si="9"/>
        <v>#REF!</v>
      </c>
      <c r="G147" s="15" t="e">
        <f>SUM(#REF!,#REF!)</f>
        <v>#REF!</v>
      </c>
      <c r="H147" s="15" t="e">
        <f>SUM(#REF!,#REF!)</f>
        <v>#REF!</v>
      </c>
      <c r="I147" s="15" t="e">
        <f>SUM(#REF!,#REF!)</f>
        <v>#REF!</v>
      </c>
      <c r="J147" s="15" t="e">
        <f>SUM(#REF!,#REF!)</f>
        <v>#REF!</v>
      </c>
      <c r="K147" s="15"/>
      <c r="L147" s="15"/>
      <c r="M147" s="15" t="e">
        <f>SUM(#REF!,F147)</f>
        <v>#REF!</v>
      </c>
    </row>
    <row r="148" spans="1:13" ht="15.75" hidden="1">
      <c r="A148" s="7"/>
      <c r="B148" s="14"/>
      <c r="C148" s="21"/>
      <c r="D148" s="21"/>
      <c r="E148" s="21"/>
      <c r="F148" s="15" t="e">
        <f t="shared" si="9"/>
        <v>#REF!</v>
      </c>
      <c r="G148" s="15" t="e">
        <f>SUM(#REF!)</f>
        <v>#REF!</v>
      </c>
      <c r="H148" s="15" t="e">
        <f>SUM(#REF!)</f>
        <v>#REF!</v>
      </c>
      <c r="I148" s="15" t="e">
        <f>SUM(#REF!)</f>
        <v>#REF!</v>
      </c>
      <c r="J148" s="15" t="e">
        <f>SUM(#REF!)</f>
        <v>#REF!</v>
      </c>
      <c r="K148" s="15"/>
      <c r="L148" s="15"/>
      <c r="M148" s="15" t="e">
        <f>SUM(#REF!,F148)</f>
        <v>#REF!</v>
      </c>
    </row>
    <row r="149" spans="1:13" ht="15.75" hidden="1">
      <c r="A149" s="7"/>
      <c r="B149" s="14"/>
      <c r="C149" s="21"/>
      <c r="D149" s="21"/>
      <c r="E149" s="21"/>
      <c r="F149" s="15" t="e">
        <f t="shared" si="9"/>
        <v>#REF!</v>
      </c>
      <c r="G149" s="15" t="e">
        <f>SUM(#REF!,#REF!,#REF!,#REF!,#REF!,#REF!,#REF!,#REF!,#REF!,#REF!,#REF!)</f>
        <v>#REF!</v>
      </c>
      <c r="H149" s="15" t="e">
        <f>SUM(#REF!,#REF!,#REF!,#REF!,#REF!,#REF!,#REF!,#REF!,#REF!,#REF!,#REF!)</f>
        <v>#REF!</v>
      </c>
      <c r="I149" s="15" t="e">
        <f>SUM(#REF!,#REF!,#REF!,#REF!,#REF!,#REF!,#REF!,#REF!,#REF!,#REF!,#REF!)</f>
        <v>#REF!</v>
      </c>
      <c r="J149" s="15" t="e">
        <f>SUM(#REF!,#REF!,#REF!,#REF!,#REF!,#REF!,#REF!,#REF!,#REF!,#REF!,#REF!)</f>
        <v>#REF!</v>
      </c>
      <c r="K149" s="15"/>
      <c r="L149" s="15"/>
      <c r="M149" s="15" t="e">
        <f>SUM(#REF!,F149)</f>
        <v>#REF!</v>
      </c>
    </row>
    <row r="150" spans="1:13" ht="15.75" hidden="1">
      <c r="A150" s="7"/>
      <c r="B150" s="14"/>
      <c r="C150" s="21"/>
      <c r="D150" s="21"/>
      <c r="E150" s="21"/>
      <c r="F150" s="15" t="e">
        <f t="shared" si="9"/>
        <v>#REF!</v>
      </c>
      <c r="G150" s="15" t="e">
        <f>SUM(#REF!)</f>
        <v>#REF!</v>
      </c>
      <c r="H150" s="15" t="e">
        <f>SUM(#REF!)</f>
        <v>#REF!</v>
      </c>
      <c r="I150" s="15" t="e">
        <f>SUM(#REF!)</f>
        <v>#REF!</v>
      </c>
      <c r="J150" s="15" t="e">
        <f>SUM(#REF!)</f>
        <v>#REF!</v>
      </c>
      <c r="K150" s="15"/>
      <c r="L150" s="15"/>
      <c r="M150" s="15" t="e">
        <f>SUM(#REF!,F150)</f>
        <v>#REF!</v>
      </c>
    </row>
    <row r="151" spans="1:13" ht="15.75" hidden="1">
      <c r="A151" s="7"/>
      <c r="B151" s="14"/>
      <c r="C151" s="21"/>
      <c r="D151" s="21"/>
      <c r="E151" s="21"/>
      <c r="F151" s="15" t="e">
        <f t="shared" si="9"/>
        <v>#REF!</v>
      </c>
      <c r="G151" s="15" t="e">
        <f>SUM(#REF!,#REF!,#REF!,#REF!,#REF!,#REF!)</f>
        <v>#REF!</v>
      </c>
      <c r="H151" s="15" t="e">
        <f>SUM(#REF!,#REF!,#REF!,#REF!,#REF!,#REF!)</f>
        <v>#REF!</v>
      </c>
      <c r="I151" s="15" t="e">
        <f>SUM(#REF!,#REF!,#REF!,#REF!,#REF!,#REF!)</f>
        <v>#REF!</v>
      </c>
      <c r="J151" s="15" t="e">
        <f>SUM(#REF!,#REF!,#REF!,#REF!,#REF!,#REF!)</f>
        <v>#REF!</v>
      </c>
      <c r="K151" s="15"/>
      <c r="L151" s="15"/>
      <c r="M151" s="15" t="e">
        <f>SUM(#REF!,F151)</f>
        <v>#REF!</v>
      </c>
    </row>
    <row r="152" spans="1:13" ht="15.75" hidden="1">
      <c r="A152" s="7"/>
      <c r="B152" s="14"/>
      <c r="C152" s="21"/>
      <c r="D152" s="21"/>
      <c r="E152" s="21"/>
      <c r="F152" s="15" t="e">
        <f t="shared" si="9"/>
        <v>#REF!</v>
      </c>
      <c r="G152" s="15" t="e">
        <f>SUM(#REF!,#REF!)</f>
        <v>#REF!</v>
      </c>
      <c r="H152" s="15" t="e">
        <f>SUM(#REF!,#REF!)</f>
        <v>#REF!</v>
      </c>
      <c r="I152" s="15" t="e">
        <f>SUM(#REF!,#REF!)</f>
        <v>#REF!</v>
      </c>
      <c r="J152" s="15" t="e">
        <f>SUM(#REF!,#REF!)</f>
        <v>#REF!</v>
      </c>
      <c r="K152" s="15"/>
      <c r="L152" s="15"/>
      <c r="M152" s="15" t="e">
        <f>SUM(#REF!,F152)</f>
        <v>#REF!</v>
      </c>
    </row>
    <row r="153" spans="1:13" ht="15.75" hidden="1">
      <c r="A153" s="7"/>
      <c r="B153" s="14"/>
      <c r="C153" s="21"/>
      <c r="D153" s="21"/>
      <c r="E153" s="21"/>
      <c r="F153" s="15" t="e">
        <f t="shared" si="9"/>
        <v>#REF!</v>
      </c>
      <c r="G153" s="15" t="e">
        <f>SUM(#REF!)</f>
        <v>#REF!</v>
      </c>
      <c r="H153" s="15" t="e">
        <f>SUM(#REF!)</f>
        <v>#REF!</v>
      </c>
      <c r="I153" s="15" t="e">
        <f>SUM(#REF!)</f>
        <v>#REF!</v>
      </c>
      <c r="J153" s="15" t="e">
        <f>SUM(#REF!)</f>
        <v>#REF!</v>
      </c>
      <c r="K153" s="15"/>
      <c r="L153" s="15"/>
      <c r="M153" s="15" t="e">
        <f>SUM(#REF!,F153)</f>
        <v>#REF!</v>
      </c>
    </row>
    <row r="154" spans="1:13" ht="15.75" hidden="1">
      <c r="A154" s="6"/>
      <c r="B154" s="14"/>
      <c r="C154" s="21"/>
      <c r="D154" s="21"/>
      <c r="E154" s="21"/>
      <c r="F154" s="15" t="e">
        <f t="shared" si="9"/>
        <v>#REF!</v>
      </c>
      <c r="G154" s="15" t="e">
        <f>SUM(#REF!,#REF!,#REF!,#REF!,#REF!)</f>
        <v>#REF!</v>
      </c>
      <c r="H154" s="15" t="e">
        <f>SUM(#REF!,#REF!,#REF!,#REF!,#REF!)</f>
        <v>#REF!</v>
      </c>
      <c r="I154" s="15" t="e">
        <f>SUM(#REF!,#REF!,#REF!,#REF!,#REF!)</f>
        <v>#REF!</v>
      </c>
      <c r="J154" s="15" t="e">
        <f>SUM(#REF!,#REF!,#REF!,#REF!,#REF!)</f>
        <v>#REF!</v>
      </c>
      <c r="K154" s="15"/>
      <c r="L154" s="15"/>
      <c r="M154" s="15" t="e">
        <f>SUM(#REF!,F154)</f>
        <v>#REF!</v>
      </c>
    </row>
    <row r="155" spans="1:13" ht="15.75" hidden="1">
      <c r="A155" s="6"/>
      <c r="B155" s="14"/>
      <c r="C155" s="21"/>
      <c r="D155" s="21"/>
      <c r="E155" s="21"/>
      <c r="F155" s="15" t="e">
        <f>SUM(#REF!,#REF!,#REF!,#REF!,#REF!,#REF!)</f>
        <v>#REF!</v>
      </c>
      <c r="G155" s="15" t="e">
        <f>SUM(#REF!,#REF!,#REF!,#REF!,#REF!,#REF!)</f>
        <v>#REF!</v>
      </c>
      <c r="H155" s="15" t="e">
        <f>SUM(#REF!,#REF!,#REF!,#REF!,#REF!,#REF!)</f>
        <v>#REF!</v>
      </c>
      <c r="I155" s="15" t="e">
        <f>SUM(#REF!,#REF!,#REF!,#REF!,#REF!,#REF!)</f>
        <v>#REF!</v>
      </c>
      <c r="J155" s="15" t="e">
        <f>SUM(#REF!,#REF!,#REF!,#REF!,#REF!,#REF!)</f>
        <v>#REF!</v>
      </c>
      <c r="K155" s="15"/>
      <c r="L155" s="15"/>
      <c r="M155" s="15" t="e">
        <f>SUM(#REF!,F155)</f>
        <v>#REF!</v>
      </c>
    </row>
    <row r="156" spans="1:13" ht="20.25" customHeight="1" hidden="1">
      <c r="A156" s="6"/>
      <c r="B156" s="14"/>
      <c r="C156" s="21"/>
      <c r="D156" s="21"/>
      <c r="E156" s="21"/>
      <c r="F156" s="15" t="e">
        <f t="shared" si="9"/>
        <v>#REF!</v>
      </c>
      <c r="G156" s="15" t="e">
        <f>SUM(#REF!)</f>
        <v>#REF!</v>
      </c>
      <c r="H156" s="15" t="e">
        <f>SUM(#REF!)</f>
        <v>#REF!</v>
      </c>
      <c r="I156" s="15" t="e">
        <f>SUM(#REF!)</f>
        <v>#REF!</v>
      </c>
      <c r="J156" s="15" t="e">
        <f>SUM(#REF!)</f>
        <v>#REF!</v>
      </c>
      <c r="K156" s="15"/>
      <c r="L156" s="15"/>
      <c r="M156" s="15" t="e">
        <f>SUM(#REF!,F156)</f>
        <v>#REF!</v>
      </c>
    </row>
    <row r="157" spans="1:13" ht="21" customHeight="1" hidden="1">
      <c r="A157" s="6"/>
      <c r="B157" s="14"/>
      <c r="C157" s="21"/>
      <c r="D157" s="21"/>
      <c r="E157" s="21"/>
      <c r="F157" s="15" t="e">
        <f t="shared" si="9"/>
        <v>#REF!</v>
      </c>
      <c r="G157" s="15" t="e">
        <f>SUM(#REF!,#REF!)</f>
        <v>#REF!</v>
      </c>
      <c r="H157" s="15" t="e">
        <f>SUM(#REF!,#REF!)</f>
        <v>#REF!</v>
      </c>
      <c r="I157" s="15" t="e">
        <f>SUM(#REF!,#REF!)</f>
        <v>#REF!</v>
      </c>
      <c r="J157" s="15" t="e">
        <f>SUM(#REF!,#REF!)</f>
        <v>#REF!</v>
      </c>
      <c r="K157" s="15"/>
      <c r="L157" s="15"/>
      <c r="M157" s="15" t="e">
        <f>SUM(#REF!,F157)</f>
        <v>#REF!</v>
      </c>
    </row>
    <row r="158" spans="1:13" ht="24.75" customHeight="1" hidden="1">
      <c r="A158" s="6"/>
      <c r="B158" s="14"/>
      <c r="C158" s="21"/>
      <c r="D158" s="21"/>
      <c r="E158" s="21"/>
      <c r="F158" s="15" t="e">
        <f t="shared" si="9"/>
        <v>#REF!</v>
      </c>
      <c r="G158" s="15" t="e">
        <f>SUM(#REF!,#REF!)</f>
        <v>#REF!</v>
      </c>
      <c r="H158" s="15" t="e">
        <f>SUM(#REF!,#REF!)</f>
        <v>#REF!</v>
      </c>
      <c r="I158" s="15" t="e">
        <f>SUM(#REF!,#REF!)</f>
        <v>#REF!</v>
      </c>
      <c r="J158" s="15" t="e">
        <f>SUM(#REF!,#REF!)</f>
        <v>#REF!</v>
      </c>
      <c r="K158" s="15"/>
      <c r="L158" s="15"/>
      <c r="M158" s="15" t="e">
        <f>SUM(#REF!,F158)</f>
        <v>#REF!</v>
      </c>
    </row>
    <row r="159" spans="1:13" ht="24.75" customHeight="1" hidden="1">
      <c r="A159" s="6"/>
      <c r="B159" s="14"/>
      <c r="C159" s="21"/>
      <c r="D159" s="21"/>
      <c r="E159" s="21"/>
      <c r="F159" s="15">
        <f t="shared" si="9"/>
        <v>0</v>
      </c>
      <c r="G159" s="15"/>
      <c r="H159" s="15"/>
      <c r="I159" s="15"/>
      <c r="J159" s="15"/>
      <c r="K159" s="15"/>
      <c r="L159" s="15"/>
      <c r="M159" s="15" t="e">
        <f>SUM(#REF!,F159)</f>
        <v>#REF!</v>
      </c>
    </row>
    <row r="160" spans="1:13" ht="19.5" customHeight="1" hidden="1">
      <c r="A160" s="6"/>
      <c r="B160" s="14"/>
      <c r="C160" s="21"/>
      <c r="D160" s="21"/>
      <c r="E160" s="21"/>
      <c r="F160" s="15" t="e">
        <f t="shared" si="9"/>
        <v>#REF!</v>
      </c>
      <c r="G160" s="15" t="e">
        <f>SUM(G140:G158)</f>
        <v>#REF!</v>
      </c>
      <c r="H160" s="15" t="e">
        <f>SUM(H140:H158)</f>
        <v>#REF!</v>
      </c>
      <c r="I160" s="15" t="e">
        <f>SUM(I140:I158)</f>
        <v>#REF!</v>
      </c>
      <c r="J160" s="15" t="e">
        <f>SUM(J140:J158)</f>
        <v>#REF!</v>
      </c>
      <c r="K160" s="15"/>
      <c r="L160" s="15"/>
      <c r="M160" s="15" t="e">
        <f>SUM(#REF!,F160)</f>
        <v>#REF!</v>
      </c>
    </row>
    <row r="161" spans="1:5" ht="12.75">
      <c r="A161" s="6"/>
      <c r="B161" s="11"/>
      <c r="C161" s="22"/>
      <c r="D161" s="22"/>
      <c r="E161" s="22"/>
    </row>
    <row r="162" spans="1:5" ht="12.75">
      <c r="A162" s="6"/>
      <c r="B162" s="11"/>
      <c r="C162" s="22"/>
      <c r="D162" s="22"/>
      <c r="E162" s="22"/>
    </row>
    <row r="163" spans="1:5" ht="12.75">
      <c r="A163" s="6"/>
      <c r="B163" s="11"/>
      <c r="C163" s="22"/>
      <c r="D163" s="22"/>
      <c r="E163" s="22"/>
    </row>
    <row r="164" spans="1:5" ht="12.75">
      <c r="A164" s="6"/>
      <c r="B164" s="11"/>
      <c r="C164" s="22"/>
      <c r="D164" s="22"/>
      <c r="E164" s="22"/>
    </row>
    <row r="165" spans="1:5" ht="12.75">
      <c r="A165" s="6"/>
      <c r="B165" s="11"/>
      <c r="C165" s="22"/>
      <c r="D165" s="22"/>
      <c r="E165" s="22"/>
    </row>
    <row r="166" spans="1:5" ht="12.75">
      <c r="A166" s="6"/>
      <c r="B166" s="11"/>
      <c r="C166" s="22"/>
      <c r="D166" s="22"/>
      <c r="E166" s="22"/>
    </row>
    <row r="167" spans="1:5" ht="12.75">
      <c r="A167" s="6"/>
      <c r="B167" s="11"/>
      <c r="C167" s="22"/>
      <c r="D167" s="22"/>
      <c r="E167" s="22"/>
    </row>
    <row r="168" spans="1:5" ht="12.75">
      <c r="A168" s="6"/>
      <c r="B168" s="11"/>
      <c r="C168" s="22"/>
      <c r="D168" s="22"/>
      <c r="E168" s="22"/>
    </row>
    <row r="169" spans="1:5" ht="12.75">
      <c r="A169" s="6"/>
      <c r="B169" s="11"/>
      <c r="C169" s="22"/>
      <c r="D169" s="22"/>
      <c r="E169" s="22"/>
    </row>
    <row r="170" spans="1:5" ht="12.75">
      <c r="A170" s="6"/>
      <c r="B170" s="11"/>
      <c r="C170" s="22"/>
      <c r="D170" s="22"/>
      <c r="E170" s="22"/>
    </row>
    <row r="171" spans="1:5" ht="12.75">
      <c r="A171" s="6"/>
      <c r="B171" s="11"/>
      <c r="C171" s="22"/>
      <c r="D171" s="22"/>
      <c r="E171" s="22"/>
    </row>
    <row r="172" spans="1:5" ht="12.75">
      <c r="A172" s="6"/>
      <c r="B172" s="11"/>
      <c r="C172" s="22"/>
      <c r="D172" s="22"/>
      <c r="E172" s="22"/>
    </row>
    <row r="173" spans="1:5" ht="12.75">
      <c r="A173" s="6"/>
      <c r="B173" s="11"/>
      <c r="C173" s="22"/>
      <c r="D173" s="22"/>
      <c r="E173" s="22"/>
    </row>
    <row r="174" spans="1:5" ht="12.75">
      <c r="A174" s="6"/>
      <c r="B174" s="11"/>
      <c r="C174" s="22"/>
      <c r="D174" s="22"/>
      <c r="E174" s="22"/>
    </row>
    <row r="175" spans="1:5" ht="12.75">
      <c r="A175" s="6"/>
      <c r="B175" s="11"/>
      <c r="C175" s="22"/>
      <c r="D175" s="22"/>
      <c r="E175" s="22"/>
    </row>
    <row r="176" spans="1:5" ht="12.75">
      <c r="A176" s="6"/>
      <c r="B176" s="11"/>
      <c r="C176" s="22"/>
      <c r="D176" s="22"/>
      <c r="E176" s="22"/>
    </row>
    <row r="177" spans="1:5" ht="12.75">
      <c r="A177" s="6"/>
      <c r="B177" s="11"/>
      <c r="C177" s="22"/>
      <c r="D177" s="22"/>
      <c r="E177" s="22"/>
    </row>
    <row r="178" spans="1:5" ht="12.75">
      <c r="A178" s="6"/>
      <c r="B178" s="11"/>
      <c r="C178" s="22"/>
      <c r="D178" s="22"/>
      <c r="E178" s="22"/>
    </row>
    <row r="179" spans="1:5" ht="12.75">
      <c r="A179" s="6"/>
      <c r="B179" s="11"/>
      <c r="C179" s="22"/>
      <c r="D179" s="22"/>
      <c r="E179" s="22"/>
    </row>
    <row r="180" spans="1:5" ht="12.75">
      <c r="A180" s="6"/>
      <c r="B180" s="11"/>
      <c r="C180" s="22"/>
      <c r="D180" s="22"/>
      <c r="E180" s="22"/>
    </row>
    <row r="181" spans="1:5" ht="12.75">
      <c r="A181" s="6"/>
      <c r="B181" s="11"/>
      <c r="C181" s="22"/>
      <c r="D181" s="22"/>
      <c r="E181" s="22"/>
    </row>
    <row r="182" spans="1:5" ht="12.75">
      <c r="A182" s="6"/>
      <c r="B182" s="11"/>
      <c r="C182" s="22"/>
      <c r="D182" s="22"/>
      <c r="E182" s="22"/>
    </row>
    <row r="183" spans="1:5" ht="12.75">
      <c r="A183" s="6"/>
      <c r="B183" s="11"/>
      <c r="C183" s="22"/>
      <c r="D183" s="22"/>
      <c r="E183" s="22"/>
    </row>
    <row r="184" spans="1:5" ht="12.75">
      <c r="A184" s="6"/>
      <c r="B184" s="11"/>
      <c r="C184" s="22"/>
      <c r="D184" s="22"/>
      <c r="E184" s="22"/>
    </row>
    <row r="185" spans="1:5" ht="12.75">
      <c r="A185" s="6"/>
      <c r="B185" s="11"/>
      <c r="C185" s="22"/>
      <c r="D185" s="22"/>
      <c r="E185" s="22"/>
    </row>
    <row r="186" spans="1:5" ht="12.75">
      <c r="A186" s="6"/>
      <c r="B186" s="11"/>
      <c r="C186" s="22"/>
      <c r="D186" s="22"/>
      <c r="E186" s="22"/>
    </row>
    <row r="187" spans="1:5" ht="12.75">
      <c r="A187" s="6"/>
      <c r="B187" s="11"/>
      <c r="C187" s="22"/>
      <c r="D187" s="22"/>
      <c r="E187" s="22"/>
    </row>
    <row r="188" spans="1:5" ht="12.75">
      <c r="A188" s="6"/>
      <c r="B188" s="11"/>
      <c r="C188" s="22"/>
      <c r="D188" s="22"/>
      <c r="E188" s="22"/>
    </row>
    <row r="189" spans="1:5" ht="12.75">
      <c r="A189" s="6"/>
      <c r="B189" s="11"/>
      <c r="C189" s="22"/>
      <c r="D189" s="22"/>
      <c r="E189" s="22"/>
    </row>
    <row r="190" spans="1:5" ht="12.75">
      <c r="A190" s="6"/>
      <c r="B190" s="11"/>
      <c r="C190" s="22"/>
      <c r="D190" s="22"/>
      <c r="E190" s="22"/>
    </row>
    <row r="191" spans="1:5" ht="12.75">
      <c r="A191" s="6"/>
      <c r="B191" s="11"/>
      <c r="C191" s="22"/>
      <c r="D191" s="22"/>
      <c r="E191" s="22"/>
    </row>
    <row r="192" spans="1:5" ht="12.75">
      <c r="A192" s="6"/>
      <c r="B192" s="11"/>
      <c r="C192" s="22"/>
      <c r="D192" s="22"/>
      <c r="E192" s="22"/>
    </row>
    <row r="193" spans="1:5" ht="12.75">
      <c r="A193" s="6"/>
      <c r="B193" s="11"/>
      <c r="C193" s="22"/>
      <c r="D193" s="22"/>
      <c r="E193" s="22"/>
    </row>
    <row r="194" spans="1:5" ht="12.75">
      <c r="A194" s="6"/>
      <c r="B194" s="11"/>
      <c r="C194" s="22"/>
      <c r="D194" s="22"/>
      <c r="E194" s="22"/>
    </row>
    <row r="195" spans="1:5" ht="12.75">
      <c r="A195" s="6"/>
      <c r="B195" s="11"/>
      <c r="C195" s="22"/>
      <c r="D195" s="22"/>
      <c r="E195" s="22"/>
    </row>
    <row r="196" spans="1:5" ht="12.75">
      <c r="A196" s="6"/>
      <c r="B196" s="11"/>
      <c r="C196" s="22"/>
      <c r="D196" s="22"/>
      <c r="E196" s="22"/>
    </row>
    <row r="197" spans="1:5" ht="12.75">
      <c r="A197" s="6"/>
      <c r="B197" s="11"/>
      <c r="C197" s="22"/>
      <c r="D197" s="22"/>
      <c r="E197" s="22"/>
    </row>
    <row r="198" spans="1:5" ht="12.75">
      <c r="A198" s="6"/>
      <c r="B198" s="11"/>
      <c r="C198" s="22"/>
      <c r="D198" s="22"/>
      <c r="E198" s="22"/>
    </row>
    <row r="199" spans="1:5" ht="12.75">
      <c r="A199" s="6"/>
      <c r="B199" s="11"/>
      <c r="C199" s="22"/>
      <c r="D199" s="22"/>
      <c r="E199" s="22"/>
    </row>
    <row r="200" spans="1:5" ht="12.75">
      <c r="A200" s="6"/>
      <c r="B200" s="11"/>
      <c r="C200" s="22"/>
      <c r="D200" s="22"/>
      <c r="E200" s="22"/>
    </row>
    <row r="201" spans="1:5" ht="12.75">
      <c r="A201" s="6"/>
      <c r="B201" s="11"/>
      <c r="C201" s="22"/>
      <c r="D201" s="22"/>
      <c r="E201" s="22"/>
    </row>
    <row r="202" spans="1:5" ht="12.75">
      <c r="A202" s="6"/>
      <c r="B202" s="11"/>
      <c r="C202" s="22"/>
      <c r="D202" s="22"/>
      <c r="E202" s="22"/>
    </row>
    <row r="203" spans="1:5" ht="12.75">
      <c r="A203" s="6"/>
      <c r="B203" s="11"/>
      <c r="C203" s="22"/>
      <c r="D203" s="22"/>
      <c r="E203" s="22"/>
    </row>
    <row r="204" spans="1:5" ht="12.75">
      <c r="A204" s="6"/>
      <c r="B204" s="11"/>
      <c r="C204" s="22"/>
      <c r="D204" s="22"/>
      <c r="E204" s="22"/>
    </row>
    <row r="205" spans="1:5" ht="12.75">
      <c r="A205" s="6"/>
      <c r="B205" s="11"/>
      <c r="C205" s="22"/>
      <c r="D205" s="22"/>
      <c r="E205" s="22"/>
    </row>
    <row r="206" spans="1:5" ht="12.75">
      <c r="A206" s="6"/>
      <c r="B206" s="11"/>
      <c r="C206" s="22"/>
      <c r="D206" s="22"/>
      <c r="E206" s="22"/>
    </row>
    <row r="207" spans="1:5" ht="12.75">
      <c r="A207" s="6"/>
      <c r="B207" s="11"/>
      <c r="C207" s="22"/>
      <c r="D207" s="22"/>
      <c r="E207" s="22"/>
    </row>
    <row r="208" spans="1:5" ht="12.75">
      <c r="A208" s="6"/>
      <c r="B208" s="11"/>
      <c r="C208" s="22"/>
      <c r="D208" s="22"/>
      <c r="E208" s="22"/>
    </row>
    <row r="209" spans="1:5" ht="12.75">
      <c r="A209" s="6"/>
      <c r="B209" s="11"/>
      <c r="C209" s="22"/>
      <c r="D209" s="22"/>
      <c r="E209" s="22"/>
    </row>
    <row r="210" spans="1:5" ht="12.75">
      <c r="A210" s="6"/>
      <c r="B210" s="11"/>
      <c r="C210" s="22"/>
      <c r="D210" s="22"/>
      <c r="E210" s="22"/>
    </row>
    <row r="211" spans="1:5" ht="12.75">
      <c r="A211" s="6"/>
      <c r="B211" s="11"/>
      <c r="C211" s="22"/>
      <c r="D211" s="22"/>
      <c r="E211" s="22"/>
    </row>
    <row r="212" spans="1:5" ht="12.75">
      <c r="A212" s="6"/>
      <c r="B212" s="11"/>
      <c r="C212" s="22"/>
      <c r="D212" s="22"/>
      <c r="E212" s="22"/>
    </row>
    <row r="213" spans="1:5" ht="12.75">
      <c r="A213" s="6"/>
      <c r="B213" s="11"/>
      <c r="C213" s="22"/>
      <c r="D213" s="22"/>
      <c r="E213" s="22"/>
    </row>
    <row r="214" spans="1:5" ht="12.75">
      <c r="A214" s="6"/>
      <c r="B214" s="11"/>
      <c r="C214" s="22"/>
      <c r="D214" s="22"/>
      <c r="E214" s="22"/>
    </row>
    <row r="215" spans="1:5" ht="12.75">
      <c r="A215" s="6"/>
      <c r="B215" s="11"/>
      <c r="C215" s="22"/>
      <c r="D215" s="22"/>
      <c r="E215" s="22"/>
    </row>
    <row r="216" spans="1:5" ht="12.75">
      <c r="A216" s="6"/>
      <c r="B216" s="11"/>
      <c r="C216" s="22"/>
      <c r="D216" s="22"/>
      <c r="E216" s="22"/>
    </row>
    <row r="217" spans="1:5" ht="12.75">
      <c r="A217" s="6"/>
      <c r="B217" s="11"/>
      <c r="C217" s="22"/>
      <c r="D217" s="22"/>
      <c r="E217" s="22"/>
    </row>
    <row r="218" spans="1:5" ht="12.75">
      <c r="A218" s="6"/>
      <c r="B218" s="11"/>
      <c r="C218" s="22"/>
      <c r="D218" s="22"/>
      <c r="E218" s="22"/>
    </row>
    <row r="219" spans="1:5" ht="12.75">
      <c r="A219" s="6"/>
      <c r="B219" s="11"/>
      <c r="C219" s="22"/>
      <c r="D219" s="22"/>
      <c r="E219" s="22"/>
    </row>
    <row r="220" spans="1:5" ht="12.75">
      <c r="A220" s="6"/>
      <c r="B220" s="11"/>
      <c r="C220" s="22"/>
      <c r="D220" s="22"/>
      <c r="E220" s="22"/>
    </row>
    <row r="221" spans="1:5" ht="12.75">
      <c r="A221" s="6"/>
      <c r="B221" s="11"/>
      <c r="C221" s="22"/>
      <c r="D221" s="22"/>
      <c r="E221" s="22"/>
    </row>
    <row r="222" spans="1:5" ht="12.75">
      <c r="A222" s="6"/>
      <c r="B222" s="11"/>
      <c r="C222" s="22"/>
      <c r="D222" s="22"/>
      <c r="E222" s="22"/>
    </row>
    <row r="223" spans="1:5" ht="12.75">
      <c r="A223" s="6"/>
      <c r="B223" s="11"/>
      <c r="C223" s="22"/>
      <c r="D223" s="22"/>
      <c r="E223" s="22"/>
    </row>
    <row r="224" spans="1:5" ht="12.75">
      <c r="A224" s="6"/>
      <c r="B224" s="11"/>
      <c r="C224" s="22"/>
      <c r="D224" s="22"/>
      <c r="E224" s="22"/>
    </row>
    <row r="225" spans="1:5" ht="12.75">
      <c r="A225" s="6"/>
      <c r="B225" s="11"/>
      <c r="C225" s="22"/>
      <c r="D225" s="22"/>
      <c r="E225" s="22"/>
    </row>
    <row r="226" spans="1:5" ht="12.75">
      <c r="A226" s="6"/>
      <c r="B226" s="11"/>
      <c r="C226" s="22"/>
      <c r="D226" s="22"/>
      <c r="E226" s="22"/>
    </row>
    <row r="227" spans="1:5" ht="12.75">
      <c r="A227" s="6"/>
      <c r="B227" s="11"/>
      <c r="C227" s="22"/>
      <c r="D227" s="22"/>
      <c r="E227" s="22"/>
    </row>
    <row r="228" spans="1:5" ht="12.75">
      <c r="A228" s="6"/>
      <c r="B228" s="11"/>
      <c r="C228" s="22"/>
      <c r="D228" s="22"/>
      <c r="E228" s="22"/>
    </row>
    <row r="229" spans="1:5" ht="12.75">
      <c r="A229" s="6"/>
      <c r="B229" s="11"/>
      <c r="C229" s="22"/>
      <c r="D229" s="22"/>
      <c r="E229" s="22"/>
    </row>
    <row r="230" spans="1:5" ht="12.75">
      <c r="A230" s="6"/>
      <c r="B230" s="11"/>
      <c r="C230" s="22"/>
      <c r="D230" s="22"/>
      <c r="E230" s="22"/>
    </row>
    <row r="231" spans="1:5" ht="12.75">
      <c r="A231" s="6"/>
      <c r="B231" s="11"/>
      <c r="C231" s="22"/>
      <c r="D231" s="22"/>
      <c r="E231" s="22"/>
    </row>
    <row r="232" spans="1:5" ht="12.75">
      <c r="A232" s="6"/>
      <c r="B232" s="11"/>
      <c r="C232" s="22"/>
      <c r="D232" s="22"/>
      <c r="E232" s="22"/>
    </row>
    <row r="233" spans="1:5" ht="12.75">
      <c r="A233" s="6"/>
      <c r="B233" s="11"/>
      <c r="C233" s="22"/>
      <c r="D233" s="22"/>
      <c r="E233" s="22"/>
    </row>
    <row r="234" spans="1:5" ht="12.75">
      <c r="A234" s="6"/>
      <c r="B234" s="11"/>
      <c r="C234" s="22"/>
      <c r="D234" s="22"/>
      <c r="E234" s="22"/>
    </row>
    <row r="235" spans="1:5" ht="12.75">
      <c r="A235" s="6"/>
      <c r="B235" s="11"/>
      <c r="C235" s="22"/>
      <c r="D235" s="22"/>
      <c r="E235" s="22"/>
    </row>
    <row r="236" spans="1:5" ht="12.75">
      <c r="A236" s="6"/>
      <c r="B236" s="11"/>
      <c r="C236" s="22"/>
      <c r="D236" s="22"/>
      <c r="E236" s="22"/>
    </row>
    <row r="237" spans="1:5" ht="12.75">
      <c r="A237" s="6"/>
      <c r="B237" s="11"/>
      <c r="C237" s="22"/>
      <c r="D237" s="22"/>
      <c r="E237" s="22"/>
    </row>
    <row r="238" spans="1:5" ht="12.75">
      <c r="A238" s="6"/>
      <c r="B238" s="11"/>
      <c r="C238" s="22"/>
      <c r="D238" s="22"/>
      <c r="E238" s="22"/>
    </row>
    <row r="239" spans="1:5" ht="12.75">
      <c r="A239" s="6"/>
      <c r="B239" s="11"/>
      <c r="C239" s="22"/>
      <c r="D239" s="22"/>
      <c r="E239" s="22"/>
    </row>
    <row r="240" spans="1:5" ht="12.75">
      <c r="A240" s="6"/>
      <c r="B240" s="11"/>
      <c r="C240" s="22"/>
      <c r="D240" s="22"/>
      <c r="E240" s="22"/>
    </row>
    <row r="241" spans="1:5" ht="12.75">
      <c r="A241" s="6"/>
      <c r="B241" s="11"/>
      <c r="C241" s="22"/>
      <c r="D241" s="22"/>
      <c r="E241" s="22"/>
    </row>
    <row r="242" spans="1:5" ht="12.75">
      <c r="A242" s="6"/>
      <c r="B242" s="11"/>
      <c r="C242" s="22"/>
      <c r="D242" s="22"/>
      <c r="E242" s="22"/>
    </row>
    <row r="243" spans="1:5" ht="12.75">
      <c r="A243" s="6"/>
      <c r="B243" s="11"/>
      <c r="C243" s="22"/>
      <c r="D243" s="22"/>
      <c r="E243" s="22"/>
    </row>
    <row r="244" spans="1:5" ht="12.75">
      <c r="A244" s="6"/>
      <c r="B244" s="11"/>
      <c r="C244" s="22"/>
      <c r="D244" s="22"/>
      <c r="E244" s="22"/>
    </row>
    <row r="245" spans="1:5" ht="12.75">
      <c r="A245" s="6"/>
      <c r="B245" s="11"/>
      <c r="C245" s="22"/>
      <c r="D245" s="22"/>
      <c r="E245" s="22"/>
    </row>
    <row r="246" spans="1:5" ht="12.75">
      <c r="A246" s="6"/>
      <c r="B246" s="11"/>
      <c r="C246" s="22"/>
      <c r="D246" s="22"/>
      <c r="E246" s="22"/>
    </row>
    <row r="247" spans="1:5" ht="12.75">
      <c r="A247" s="6"/>
      <c r="B247" s="11"/>
      <c r="C247" s="22"/>
      <c r="D247" s="22"/>
      <c r="E247" s="22"/>
    </row>
    <row r="248" spans="1:5" ht="12.75">
      <c r="A248" s="6"/>
      <c r="B248" s="11"/>
      <c r="C248" s="22"/>
      <c r="D248" s="22"/>
      <c r="E248" s="22"/>
    </row>
    <row r="249" spans="1:5" ht="12.75">
      <c r="A249" s="6"/>
      <c r="B249" s="11"/>
      <c r="C249" s="22"/>
      <c r="D249" s="22"/>
      <c r="E249" s="22"/>
    </row>
    <row r="250" spans="1:5" ht="12.75">
      <c r="A250" s="6"/>
      <c r="B250" s="11"/>
      <c r="C250" s="22"/>
      <c r="D250" s="22"/>
      <c r="E250" s="22"/>
    </row>
    <row r="251" spans="1:5" ht="12.75">
      <c r="A251" s="6"/>
      <c r="B251" s="11"/>
      <c r="C251" s="22"/>
      <c r="D251" s="22"/>
      <c r="E251" s="22"/>
    </row>
    <row r="252" spans="1:5" ht="12.75">
      <c r="A252" s="6"/>
      <c r="B252" s="11"/>
      <c r="C252" s="22"/>
      <c r="D252" s="22"/>
      <c r="E252" s="22"/>
    </row>
    <row r="253" spans="1:5" ht="12.75">
      <c r="A253" s="6"/>
      <c r="B253" s="11"/>
      <c r="C253" s="22"/>
      <c r="D253" s="22"/>
      <c r="E253" s="22"/>
    </row>
    <row r="254" spans="1:5" ht="12.75">
      <c r="A254" s="6"/>
      <c r="B254" s="11"/>
      <c r="C254" s="22"/>
      <c r="D254" s="22"/>
      <c r="E254" s="22"/>
    </row>
    <row r="255" spans="1:5" ht="12.75">
      <c r="A255" s="6"/>
      <c r="B255" s="11"/>
      <c r="C255" s="22"/>
      <c r="D255" s="22"/>
      <c r="E255" s="22"/>
    </row>
    <row r="256" spans="1:5" ht="12.75">
      <c r="A256" s="6"/>
      <c r="B256" s="11"/>
      <c r="C256" s="22"/>
      <c r="D256" s="22"/>
      <c r="E256" s="22"/>
    </row>
    <row r="257" spans="1:5" ht="12.75">
      <c r="A257" s="6"/>
      <c r="B257" s="11"/>
      <c r="C257" s="22"/>
      <c r="D257" s="22"/>
      <c r="E257" s="22"/>
    </row>
    <row r="258" spans="1:5" ht="12.75">
      <c r="A258" s="6"/>
      <c r="B258" s="11"/>
      <c r="C258" s="22"/>
      <c r="D258" s="22"/>
      <c r="E258" s="22"/>
    </row>
    <row r="259" spans="1:5" ht="12.75">
      <c r="A259" s="6"/>
      <c r="B259" s="11"/>
      <c r="C259" s="22"/>
      <c r="D259" s="22"/>
      <c r="E259" s="22"/>
    </row>
    <row r="260" spans="1:5" ht="12.75">
      <c r="A260" s="6"/>
      <c r="B260" s="11"/>
      <c r="C260" s="22"/>
      <c r="D260" s="22"/>
      <c r="E260" s="22"/>
    </row>
    <row r="261" spans="1:5" ht="12.75">
      <c r="A261" s="6"/>
      <c r="B261" s="11"/>
      <c r="C261" s="22"/>
      <c r="D261" s="22"/>
      <c r="E261" s="22"/>
    </row>
    <row r="262" spans="1:5" ht="12.75">
      <c r="A262" s="6"/>
      <c r="B262" s="11"/>
      <c r="C262" s="22"/>
      <c r="D262" s="22"/>
      <c r="E262" s="22"/>
    </row>
    <row r="263" spans="1:5" ht="12.75">
      <c r="A263" s="6"/>
      <c r="B263" s="11"/>
      <c r="C263" s="22"/>
      <c r="D263" s="22"/>
      <c r="E263" s="22"/>
    </row>
    <row r="264" spans="1:5" ht="12.75">
      <c r="A264" s="6"/>
      <c r="B264" s="11"/>
      <c r="C264" s="22"/>
      <c r="D264" s="22"/>
      <c r="E264" s="22"/>
    </row>
    <row r="265" spans="1:5" ht="12.75">
      <c r="A265" s="6"/>
      <c r="B265" s="11"/>
      <c r="C265" s="22"/>
      <c r="D265" s="22"/>
      <c r="E265" s="22"/>
    </row>
    <row r="266" spans="1:5" ht="12.75">
      <c r="A266" s="6"/>
      <c r="B266" s="11"/>
      <c r="C266" s="22"/>
      <c r="D266" s="22"/>
      <c r="E266" s="22"/>
    </row>
    <row r="267" spans="1:5" ht="12.75">
      <c r="A267" s="6"/>
      <c r="B267" s="11"/>
      <c r="C267" s="22"/>
      <c r="D267" s="22"/>
      <c r="E267" s="22"/>
    </row>
    <row r="268" spans="1:5" ht="12.75">
      <c r="A268" s="6"/>
      <c r="B268" s="11"/>
      <c r="C268" s="22"/>
      <c r="D268" s="22"/>
      <c r="E268" s="22"/>
    </row>
    <row r="269" spans="1:5" ht="12.75">
      <c r="A269" s="6"/>
      <c r="B269" s="11"/>
      <c r="C269" s="22"/>
      <c r="D269" s="22"/>
      <c r="E269" s="22"/>
    </row>
    <row r="270" spans="1:5" ht="12.75">
      <c r="A270" s="6"/>
      <c r="B270" s="11"/>
      <c r="C270" s="22"/>
      <c r="D270" s="22"/>
      <c r="E270" s="22"/>
    </row>
    <row r="271" spans="1:5" ht="12.75">
      <c r="A271" s="6"/>
      <c r="B271" s="11"/>
      <c r="C271" s="22"/>
      <c r="D271" s="22"/>
      <c r="E271" s="22"/>
    </row>
    <row r="272" spans="1:5" ht="12.75">
      <c r="A272" s="6"/>
      <c r="B272" s="11"/>
      <c r="C272" s="22"/>
      <c r="D272" s="22"/>
      <c r="E272" s="22"/>
    </row>
    <row r="273" spans="1:5" ht="12.75">
      <c r="A273" s="6"/>
      <c r="B273" s="11"/>
      <c r="C273" s="22"/>
      <c r="D273" s="22"/>
      <c r="E273" s="22"/>
    </row>
    <row r="274" spans="1:5" ht="12.75">
      <c r="A274" s="6"/>
      <c r="B274" s="11"/>
      <c r="C274" s="22"/>
      <c r="D274" s="22"/>
      <c r="E274" s="22"/>
    </row>
    <row r="275" spans="1:5" ht="12.75">
      <c r="A275" s="6"/>
      <c r="B275" s="11"/>
      <c r="C275" s="22"/>
      <c r="D275" s="22"/>
      <c r="E275" s="22"/>
    </row>
    <row r="276" spans="1:5" ht="12.75">
      <c r="A276" s="6"/>
      <c r="B276" s="11"/>
      <c r="C276" s="22"/>
      <c r="D276" s="22"/>
      <c r="E276" s="22"/>
    </row>
    <row r="277" spans="1:5" ht="12.75">
      <c r="A277" s="6"/>
      <c r="B277" s="11"/>
      <c r="C277" s="22"/>
      <c r="D277" s="22"/>
      <c r="E277" s="22"/>
    </row>
    <row r="278" spans="1:5" ht="12.75">
      <c r="A278" s="6"/>
      <c r="B278" s="11"/>
      <c r="C278" s="22"/>
      <c r="D278" s="22"/>
      <c r="E278" s="22"/>
    </row>
    <row r="279" spans="1:5" ht="12.75">
      <c r="A279" s="6"/>
      <c r="B279" s="11"/>
      <c r="C279" s="22"/>
      <c r="D279" s="22"/>
      <c r="E279" s="22"/>
    </row>
    <row r="280" spans="1:5" ht="12.75">
      <c r="A280" s="6"/>
      <c r="B280" s="11"/>
      <c r="C280" s="22"/>
      <c r="D280" s="22"/>
      <c r="E280" s="22"/>
    </row>
    <row r="281" spans="1:5" ht="12.75">
      <c r="A281" s="6"/>
      <c r="B281" s="11"/>
      <c r="C281" s="22"/>
      <c r="D281" s="22"/>
      <c r="E281" s="22"/>
    </row>
    <row r="282" spans="1:5" ht="12.75">
      <c r="A282" s="6"/>
      <c r="B282" s="11"/>
      <c r="C282" s="22"/>
      <c r="D282" s="22"/>
      <c r="E282" s="22"/>
    </row>
    <row r="283" spans="1:5" ht="12.75">
      <c r="A283" s="6"/>
      <c r="B283" s="11"/>
      <c r="C283" s="22"/>
      <c r="D283" s="22"/>
      <c r="E283" s="22"/>
    </row>
    <row r="284" spans="1:5" ht="12.75">
      <c r="A284" s="6"/>
      <c r="B284" s="11"/>
      <c r="C284" s="22"/>
      <c r="D284" s="22"/>
      <c r="E284" s="22"/>
    </row>
    <row r="285" spans="1:5" ht="12.75">
      <c r="A285" s="6"/>
      <c r="B285" s="11"/>
      <c r="C285" s="22"/>
      <c r="D285" s="22"/>
      <c r="E285" s="22"/>
    </row>
    <row r="286" spans="1:5" ht="12.75">
      <c r="A286" s="6"/>
      <c r="B286" s="11"/>
      <c r="C286" s="22"/>
      <c r="D286" s="22"/>
      <c r="E286" s="22"/>
    </row>
    <row r="287" spans="1:5" ht="12.75">
      <c r="A287" s="6"/>
      <c r="B287" s="11"/>
      <c r="C287" s="22"/>
      <c r="D287" s="22"/>
      <c r="E287" s="22"/>
    </row>
    <row r="288" spans="1:5" ht="12.75">
      <c r="A288" s="6"/>
      <c r="B288" s="11"/>
      <c r="C288" s="22"/>
      <c r="D288" s="22"/>
      <c r="E288" s="22"/>
    </row>
    <row r="289" spans="1:5" ht="12.75">
      <c r="A289" s="6"/>
      <c r="B289" s="11"/>
      <c r="C289" s="22"/>
      <c r="D289" s="22"/>
      <c r="E289" s="22"/>
    </row>
    <row r="290" spans="1:5" ht="12.75">
      <c r="A290" s="6"/>
      <c r="B290" s="11"/>
      <c r="C290" s="22"/>
      <c r="D290" s="22"/>
      <c r="E290" s="22"/>
    </row>
    <row r="291" spans="1:5" ht="12.75">
      <c r="A291" s="6"/>
      <c r="B291" s="11"/>
      <c r="C291" s="22"/>
      <c r="D291" s="22"/>
      <c r="E291" s="22"/>
    </row>
    <row r="292" spans="1:5" ht="12.75">
      <c r="A292" s="6"/>
      <c r="B292" s="11"/>
      <c r="C292" s="22"/>
      <c r="D292" s="22"/>
      <c r="E292" s="22"/>
    </row>
    <row r="293" spans="1:5" ht="12.75">
      <c r="A293" s="6"/>
      <c r="B293" s="11"/>
      <c r="C293" s="22"/>
      <c r="D293" s="22"/>
      <c r="E293" s="22"/>
    </row>
    <row r="294" spans="1:5" ht="12.75">
      <c r="A294" s="6"/>
      <c r="B294" s="11"/>
      <c r="C294" s="22"/>
      <c r="D294" s="22"/>
      <c r="E294" s="22"/>
    </row>
    <row r="295" spans="1:5" ht="12.75">
      <c r="A295" s="6"/>
      <c r="B295" s="11"/>
      <c r="C295" s="22"/>
      <c r="D295" s="22"/>
      <c r="E295" s="22"/>
    </row>
    <row r="296" spans="1:5" ht="12.75">
      <c r="A296" s="6"/>
      <c r="B296" s="11"/>
      <c r="C296" s="22"/>
      <c r="D296" s="22"/>
      <c r="E296" s="22"/>
    </row>
    <row r="297" spans="1:5" ht="12.75">
      <c r="A297" s="6"/>
      <c r="B297" s="11"/>
      <c r="C297" s="22"/>
      <c r="D297" s="22"/>
      <c r="E297" s="22"/>
    </row>
    <row r="298" spans="1:5" ht="12.75">
      <c r="A298" s="6"/>
      <c r="B298" s="11"/>
      <c r="C298" s="22"/>
      <c r="D298" s="22"/>
      <c r="E298" s="22"/>
    </row>
    <row r="299" spans="1:5" ht="12.75">
      <c r="A299" s="6"/>
      <c r="B299" s="11"/>
      <c r="C299" s="22"/>
      <c r="D299" s="22"/>
      <c r="E299" s="22"/>
    </row>
    <row r="300" spans="1:5" ht="12.75">
      <c r="A300" s="6"/>
      <c r="B300" s="11"/>
      <c r="C300" s="22"/>
      <c r="D300" s="22"/>
      <c r="E300" s="22"/>
    </row>
    <row r="301" spans="1:5" ht="12.75">
      <c r="A301" s="6"/>
      <c r="B301" s="11"/>
      <c r="C301" s="22"/>
      <c r="D301" s="22"/>
      <c r="E301" s="22"/>
    </row>
    <row r="302" spans="1:5" ht="12.75">
      <c r="A302" s="6"/>
      <c r="B302" s="11"/>
      <c r="C302" s="22"/>
      <c r="D302" s="22"/>
      <c r="E302" s="22"/>
    </row>
    <row r="303" spans="1:5" ht="12.75">
      <c r="A303" s="6"/>
      <c r="B303" s="11"/>
      <c r="C303" s="22"/>
      <c r="D303" s="22"/>
      <c r="E303" s="22"/>
    </row>
    <row r="304" spans="1:5" ht="12.75">
      <c r="A304" s="6"/>
      <c r="B304" s="11"/>
      <c r="C304" s="22"/>
      <c r="D304" s="22"/>
      <c r="E304" s="22"/>
    </row>
    <row r="305" spans="1:5" ht="12.75">
      <c r="A305" s="6"/>
      <c r="B305" s="11"/>
      <c r="C305" s="22"/>
      <c r="D305" s="22"/>
      <c r="E305" s="22"/>
    </row>
    <row r="306" spans="1:5" ht="12.75">
      <c r="A306" s="6"/>
      <c r="B306" s="11"/>
      <c r="C306" s="22"/>
      <c r="D306" s="22"/>
      <c r="E306" s="22"/>
    </row>
    <row r="307" spans="1:5" ht="12.75">
      <c r="A307" s="6"/>
      <c r="B307" s="11"/>
      <c r="C307" s="22"/>
      <c r="D307" s="22"/>
      <c r="E307" s="22"/>
    </row>
    <row r="308" spans="1:5" ht="12.75">
      <c r="A308" s="6"/>
      <c r="B308" s="11"/>
      <c r="C308" s="22"/>
      <c r="D308" s="22"/>
      <c r="E308" s="22"/>
    </row>
    <row r="309" spans="1:5" ht="12.75">
      <c r="A309" s="6"/>
      <c r="B309" s="11"/>
      <c r="C309" s="22"/>
      <c r="D309" s="22"/>
      <c r="E309" s="22"/>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spans="1:2" ht="12.75">
      <c r="A405" s="6"/>
      <c r="B405" s="11"/>
    </row>
    <row r="406" spans="1:2" ht="12.75">
      <c r="A406" s="6"/>
      <c r="B406" s="11"/>
    </row>
    <row r="407" spans="1:2" ht="12.75">
      <c r="A407" s="6"/>
      <c r="B407" s="11"/>
    </row>
    <row r="408" spans="1:2" ht="12.75">
      <c r="A408" s="6"/>
      <c r="B408" s="11"/>
    </row>
    <row r="409" spans="1:2" ht="12.75">
      <c r="A409" s="6"/>
      <c r="B409" s="11"/>
    </row>
    <row r="410" spans="1:2" ht="12.75">
      <c r="A410" s="6"/>
      <c r="B410" s="11"/>
    </row>
    <row r="411" spans="1:2" ht="12.75">
      <c r="A411" s="6"/>
      <c r="B411" s="11"/>
    </row>
    <row r="412" spans="1:2" ht="12.75">
      <c r="A412" s="6"/>
      <c r="B412" s="11"/>
    </row>
    <row r="413" spans="1:2" ht="12.75">
      <c r="A413" s="6"/>
      <c r="B413" s="11"/>
    </row>
    <row r="414" spans="1:2" ht="12.75">
      <c r="A414" s="6"/>
      <c r="B414" s="11"/>
    </row>
    <row r="415" spans="1:2" ht="12.75">
      <c r="A415" s="6"/>
      <c r="B415" s="11"/>
    </row>
    <row r="416" spans="1:2" ht="12.75">
      <c r="A416" s="6"/>
      <c r="B416" s="11"/>
    </row>
    <row r="417" spans="1:2" ht="12.75">
      <c r="A417" s="6"/>
      <c r="B417" s="11"/>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row r="928" ht="12.75">
      <c r="A928" s="6"/>
    </row>
    <row r="929" ht="12.75">
      <c r="A929" s="6"/>
    </row>
    <row r="930" ht="12.75">
      <c r="A930" s="6"/>
    </row>
    <row r="931" ht="12.75">
      <c r="A931" s="6"/>
    </row>
    <row r="932" ht="12.75">
      <c r="A932" s="6"/>
    </row>
    <row r="933" ht="12.75">
      <c r="A933" s="6"/>
    </row>
    <row r="934" ht="12.75">
      <c r="A934" s="6"/>
    </row>
    <row r="935" ht="12.75">
      <c r="A935" s="6"/>
    </row>
    <row r="936" ht="12.75">
      <c r="A936" s="6"/>
    </row>
    <row r="937" ht="12.75">
      <c r="A937" s="6"/>
    </row>
    <row r="938" ht="12.75">
      <c r="A938" s="6"/>
    </row>
    <row r="939" ht="12.75">
      <c r="A939" s="6"/>
    </row>
    <row r="940" ht="12.75">
      <c r="A940" s="6"/>
    </row>
  </sheetData>
  <sheetProtection/>
  <mergeCells count="19">
    <mergeCell ref="A7:M7"/>
    <mergeCell ref="F10:F12"/>
    <mergeCell ref="G10:G12"/>
    <mergeCell ref="H10:I10"/>
    <mergeCell ref="J10:J12"/>
    <mergeCell ref="M9:M12"/>
    <mergeCell ref="D10:E10"/>
    <mergeCell ref="C9:E9"/>
    <mergeCell ref="A9:A12"/>
    <mergeCell ref="B9:B12"/>
    <mergeCell ref="B137:C137"/>
    <mergeCell ref="C10:C12"/>
    <mergeCell ref="F9:L9"/>
    <mergeCell ref="K10:L10"/>
    <mergeCell ref="K11:K12"/>
    <mergeCell ref="H11:H12"/>
    <mergeCell ref="I11:I12"/>
    <mergeCell ref="E11:E12"/>
    <mergeCell ref="D11:D12"/>
  </mergeCells>
  <printOptions horizontalCentered="1"/>
  <pageMargins left="0.1968503937007874" right="0.1968503937007874" top="0.67" bottom="0.4" header="0.3" footer="0.19"/>
  <pageSetup fitToHeight="0" fitToWidth="1" horizontalDpi="600" verticalDpi="600" orientation="landscape" paperSize="9" scale="66" r:id="rId1"/>
  <headerFooter alignWithMargins="0">
    <oddFooter>&amp;CСтраница &amp;P</oddFooter>
  </headerFooter>
  <rowBreaks count="1" manualBreakCount="1">
    <brk id="9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2012-11-01T13:23:31Z</cp:lastPrinted>
  <dcterms:created xsi:type="dcterms:W3CDTF">2002-12-20T15:22:07Z</dcterms:created>
  <dcterms:modified xsi:type="dcterms:W3CDTF">2012-12-07T07:44:38Z</dcterms:modified>
  <cp:category/>
  <cp:version/>
  <cp:contentType/>
  <cp:contentStatus/>
</cp:coreProperties>
</file>