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'Лист1'!$A$1:$N$146</definedName>
  </definedNames>
  <calcPr fullCalcOnLoad="1"/>
</workbook>
</file>

<file path=xl/sharedStrings.xml><?xml version="1.0" encoding="utf-8"?>
<sst xmlns="http://schemas.openxmlformats.org/spreadsheetml/2006/main" count="251" uniqueCount="228">
  <si>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</si>
  <si>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</si>
  <si>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</si>
  <si>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</si>
  <si>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</si>
  <si>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</si>
  <si>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</si>
  <si>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</si>
  <si>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</si>
  <si>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</si>
  <si>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</si>
  <si>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</si>
  <si>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</si>
  <si>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</si>
  <si>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</si>
  <si>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</si>
  <si>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</si>
  <si>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</si>
  <si>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</si>
  <si>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</si>
  <si>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</si>
  <si>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</si>
  <si>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</si>
  <si>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</si>
  <si>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</si>
  <si>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</si>
  <si>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</si>
  <si>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</si>
  <si>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</si>
  <si>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</si>
  <si>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</si>
  <si>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</si>
  <si>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</si>
  <si>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</si>
  <si>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</si>
  <si>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</si>
  <si>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</si>
  <si>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</si>
  <si>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</si>
  <si>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</si>
  <si>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</si>
  <si>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</si>
  <si>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</si>
  <si>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</si>
  <si>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</si>
  <si>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</si>
  <si>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</si>
  <si>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</si>
  <si>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</si>
  <si>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</si>
  <si>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</si>
  <si>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</si>
  <si>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</si>
  <si>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</si>
  <si>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</si>
  <si>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</si>
  <si>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</si>
  <si>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</si>
  <si>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</si>
  <si>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</si>
  <si>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</si>
  <si>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</si>
  <si>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</si>
  <si>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</si>
  <si>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</si>
  <si>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</si>
  <si>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</si>
  <si>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</si>
  <si>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</si>
  <si>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</si>
  <si>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</si>
  <si>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</si>
  <si>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</si>
  <si>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</si>
  <si>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</si>
  <si>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</si>
  <si>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</si>
  <si>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</si>
  <si>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</si>
  <si>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</si>
  <si>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</si>
  <si>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</si>
  <si>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</si>
  <si>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</si>
  <si>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</si>
  <si>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</si>
  <si>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</si>
  <si>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</si>
  <si>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</si>
  <si>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</si>
  <si>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</si>
  <si>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</si>
  <si>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</si>
  <si>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</si>
  <si>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</si>
  <si>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</si>
  <si>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</si>
  <si>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</si>
  <si>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</si>
  <si>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</si>
  <si>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</si>
  <si>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</si>
  <si>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</si>
  <si>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</si>
  <si>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</si>
  <si>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</si>
  <si>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</si>
  <si>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</si>
  <si>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</si>
  <si>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</si>
  <si>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</si>
  <si>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</si>
  <si>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</si>
  <si>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</si>
  <si>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</si>
  <si>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</si>
  <si>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</si>
  <si>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</si>
  <si>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</si>
  <si>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</si>
  <si>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</si>
  <si>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</si>
  <si>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</si>
  <si>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</si>
  <si>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</si>
  <si>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</si>
  <si>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</si>
  <si>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</si>
  <si>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</si>
  <si>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</si>
  <si>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</si>
  <si>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</si>
  <si>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</si>
  <si>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</si>
  <si>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</si>
  <si>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</si>
  <si>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</si>
  <si>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</si>
  <si>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</si>
  <si>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</si>
  <si>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</si>
  <si>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</si>
  <si>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</si>
  <si>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</si>
  <si>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</si>
  <si>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</si>
  <si>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</si>
  <si>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</si>
  <si>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</si>
  <si>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</si>
  <si>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</si>
  <si>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</si>
  <si>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</si>
  <si>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</si>
  <si>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</si>
  <si>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</si>
  <si>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</si>
  <si>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</si>
  <si>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</si>
  <si>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</si>
  <si>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</si>
  <si>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</si>
  <si>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</si>
  <si>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</si>
  <si>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</si>
  <si>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</si>
  <si>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</si>
  <si>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</si>
  <si>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</si>
  <si>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</si>
  <si>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</si>
  <si>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</si>
  <si>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</si>
  <si>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</si>
  <si>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</si>
  <si>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</si>
  <si>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</si>
  <si>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</si>
  <si>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</si>
  <si>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</si>
  <si>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</si>
  <si>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</si>
  <si>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</si>
  <si>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</si>
  <si>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</si>
  <si>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</si>
  <si>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</si>
  <si>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</si>
  <si>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</si>
  <si>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</si>
  <si>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</si>
  <si>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</si>
  <si>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</si>
  <si>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</si>
  <si>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</si>
  <si>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</si>
  <si>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</si>
  <si>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</si>
  <si>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</si>
  <si>
    <t>070806</t>
  </si>
  <si>
    <t>Інші заклади освіти</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</si>
  <si>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</si>
  <si>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</si>
  <si>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сільському бюджету Привільненської сільської ради на фінансування проекту "Відновлення водопровідної мережі - шлях до покращення життя в селі Привільне"</t>
  </si>
  <si>
    <t>сільському бюджету Явкинської сільської ради на фінансування пректу "Зробимо на місці смітника парк для відпочинку та проведення колективних заходів Явкинської територіальної громади"</t>
  </si>
  <si>
    <t>сілському бюджету Доброкриничанської сільської ради на фінансування проекту "Будівництво та реконструкція обєктів системи водопостачання сіл Доброкриничанської сільської ради - разом з громадою"</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</si>
  <si>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</si>
  <si>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в тому числі за рахунок субвенції з державного бюджету</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</si>
  <si>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</si>
  <si>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</si>
  <si>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</si>
  <si>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</si>
  <si>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</si>
  <si>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</si>
  <si>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</si>
  <si>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</si>
  <si>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</si>
  <si>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</si>
  <si>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Видатки на запобігання та ліквідацію надзвичайних ситуацій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</si>
  <si>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</si>
  <si>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</si>
  <si>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за рахунок додаткової дотації з державного бюджету</t>
  </si>
  <si>
    <t>Додаток 8</t>
  </si>
  <si>
    <t>080800</t>
  </si>
  <si>
    <t>Центри первинної медичної (медико-санітарної) допомоги</t>
  </si>
  <si>
    <t>180109</t>
  </si>
  <si>
    <t>Програма стабілізації та соціално-економічного розвитку територій</t>
  </si>
  <si>
    <t xml:space="preserve">29.11.2012  №1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</si>
</sst>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4"/>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17" fillId="0" borderId="0">
      <alignment/>
      <protection/>
    </xf>
    <xf numFmtId="0" fontId="6"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17"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xf numFmtId="0" fontId="9" fillId="0" borderId="0" xfId="53" applyFont="1" applyBorder="1" applyAlignment="1">
      <alignment vertical="center" wrapText="1"/>
      <protection/>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53" applyFont="1" applyBorder="1" applyAlignment="1">
      <alignment vertical="top" wrapText="1"/>
      <protection/>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9" fillId="0" borderId="0" xfId="0" applyFont="1" applyAlignment="1">
      <alignment vertical="top" wrapText="1"/>
    </xf>
    <xf numFmtId="0" fontId="18" fillId="0" borderId="0" xfId="0" applyFont="1" applyFill="1" applyAlignment="1">
      <alignment horizontal="left" vertical="top" wrapText="1"/>
    </xf>
    <xf numFmtId="0" fontId="2" fillId="0" borderId="0" xfId="0" applyFont="1" applyAlignment="1">
      <alignment horizontal="left" vertical="justify" wrapText="1"/>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9"/>
  <sheetViews>
    <sheetView tabSelected="1" view="pageBreakPreview" zoomScale="75" zoomScaleNormal="75" zoomScaleSheetLayoutView="75" zoomScalePageLayoutView="0" workbookViewId="0" topLeftCell="C1">
      <pane ySplit="4350" topLeftCell="BM47" activePane="bottomLeft" state="split"/>
      <selection pane="topLeft" activeCell="L4" sqref="L4"/>
      <selection pane="bottomLeft" activeCell="L47" sqref="L47"/>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116</v>
      </c>
      <c r="L2" s="8" t="s">
        <v>222</v>
      </c>
      <c r="M2" s="8"/>
    </row>
    <row r="3" spans="9:13" ht="15.75">
      <c r="I3" s="1" t="s">
        <v>116</v>
      </c>
      <c r="L3" s="8" t="s">
        <v>98</v>
      </c>
      <c r="M3" s="8"/>
    </row>
    <row r="4" spans="9:13" ht="15.75">
      <c r="I4" s="1" t="s">
        <v>116</v>
      </c>
      <c r="L4" s="8" t="s">
        <v>227</v>
      </c>
      <c r="M4" s="8"/>
    </row>
    <row r="5" spans="12:13" ht="15.75">
      <c r="L5" s="8"/>
      <c r="M5" s="8"/>
    </row>
    <row r="6" spans="1:13" ht="20.25">
      <c r="A6" s="99" t="s">
        <v>192</v>
      </c>
      <c r="B6" s="99"/>
      <c r="C6" s="99"/>
      <c r="D6" s="99"/>
      <c r="E6" s="99"/>
      <c r="F6" s="99"/>
      <c r="G6" s="99"/>
      <c r="H6" s="99"/>
      <c r="I6" s="99"/>
      <c r="J6" s="99"/>
      <c r="K6" s="99"/>
      <c r="L6" s="99"/>
      <c r="M6" s="99"/>
    </row>
    <row r="7" ht="13.5" thickBot="1">
      <c r="M7" s="1" t="s">
        <v>8</v>
      </c>
    </row>
    <row r="8" spans="1:13" ht="82.5" customHeight="1">
      <c r="A8" s="43" t="s">
        <v>143</v>
      </c>
      <c r="B8" s="54" t="s">
        <v>146</v>
      </c>
      <c r="C8" s="83" t="s">
        <v>33</v>
      </c>
      <c r="D8" s="104"/>
      <c r="E8" s="104"/>
      <c r="F8" s="83" t="s">
        <v>34</v>
      </c>
      <c r="G8" s="84"/>
      <c r="H8" s="84"/>
      <c r="I8" s="84"/>
      <c r="J8" s="84"/>
      <c r="K8" s="84"/>
      <c r="L8" s="85"/>
      <c r="M8" s="102" t="s">
        <v>155</v>
      </c>
    </row>
    <row r="9" spans="1:13" ht="12.75" customHeight="1">
      <c r="A9" s="93" t="s">
        <v>144</v>
      </c>
      <c r="B9" s="96" t="s">
        <v>147</v>
      </c>
      <c r="C9" s="80" t="s">
        <v>4</v>
      </c>
      <c r="D9" s="101" t="s">
        <v>5</v>
      </c>
      <c r="E9" s="101"/>
      <c r="F9" s="100" t="s">
        <v>4</v>
      </c>
      <c r="G9" s="101" t="s">
        <v>35</v>
      </c>
      <c r="H9" s="101" t="s">
        <v>5</v>
      </c>
      <c r="I9" s="101"/>
      <c r="J9" s="101" t="s">
        <v>36</v>
      </c>
      <c r="K9" s="86" t="s">
        <v>152</v>
      </c>
      <c r="L9" s="87"/>
      <c r="M9" s="103"/>
    </row>
    <row r="10" spans="1:13" ht="12.75" customHeight="1">
      <c r="A10" s="94"/>
      <c r="B10" s="97"/>
      <c r="C10" s="81"/>
      <c r="D10" s="90" t="s">
        <v>6</v>
      </c>
      <c r="E10" s="90" t="s">
        <v>7</v>
      </c>
      <c r="F10" s="100"/>
      <c r="G10" s="101"/>
      <c r="H10" s="90" t="s">
        <v>6</v>
      </c>
      <c r="I10" s="90" t="s">
        <v>7</v>
      </c>
      <c r="J10" s="101"/>
      <c r="K10" s="88" t="s">
        <v>153</v>
      </c>
      <c r="L10" s="56" t="s">
        <v>152</v>
      </c>
      <c r="M10" s="103"/>
    </row>
    <row r="11" spans="1:13" ht="137.25" customHeight="1">
      <c r="A11" s="95"/>
      <c r="B11" s="98"/>
      <c r="C11" s="82"/>
      <c r="D11" s="91"/>
      <c r="E11" s="91"/>
      <c r="F11" s="100"/>
      <c r="G11" s="101"/>
      <c r="H11" s="91"/>
      <c r="I11" s="91"/>
      <c r="J11" s="101"/>
      <c r="K11" s="89"/>
      <c r="L11" s="56" t="s">
        <v>154</v>
      </c>
      <c r="M11" s="103"/>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186</v>
      </c>
      <c r="B13" s="9" t="s">
        <v>38</v>
      </c>
      <c r="C13" s="8"/>
      <c r="D13" s="8"/>
      <c r="E13" s="8"/>
      <c r="M13" s="30"/>
    </row>
    <row r="14" spans="1:13" ht="15.75">
      <c r="A14" s="45" t="s">
        <v>145</v>
      </c>
      <c r="B14" s="10" t="s">
        <v>29</v>
      </c>
      <c r="C14" s="28">
        <f>1034.2+5.707+2+10+10+2+34.5-2</f>
        <v>1096.4070000000002</v>
      </c>
      <c r="D14" s="28">
        <v>636</v>
      </c>
      <c r="E14" s="28">
        <f>80+10+34.5-2</f>
        <v>122.5</v>
      </c>
      <c r="F14" s="28">
        <f>G14+J14</f>
        <v>3.8</v>
      </c>
      <c r="G14" s="28">
        <v>1.8</v>
      </c>
      <c r="H14" s="28"/>
      <c r="I14" s="28"/>
      <c r="J14" s="28">
        <v>2</v>
      </c>
      <c r="K14" s="28">
        <v>2</v>
      </c>
      <c r="L14" s="28">
        <v>2</v>
      </c>
      <c r="M14" s="28">
        <f>SUM(C14,F14)</f>
        <v>1100.207</v>
      </c>
    </row>
    <row r="15" spans="1:13" ht="15.75" customHeight="1">
      <c r="A15" s="64" t="s">
        <v>21</v>
      </c>
      <c r="B15" s="19" t="s">
        <v>39</v>
      </c>
      <c r="C15" s="28">
        <f>C16+C17</f>
        <v>71.4</v>
      </c>
      <c r="D15" s="8"/>
      <c r="E15" s="28"/>
      <c r="F15" s="28"/>
      <c r="G15" s="28"/>
      <c r="H15" s="28"/>
      <c r="I15" s="28"/>
      <c r="J15" s="28"/>
      <c r="K15" s="28"/>
      <c r="L15" s="28"/>
      <c r="M15" s="28">
        <f>SUM(C15,F15)</f>
        <v>71.4</v>
      </c>
    </row>
    <row r="16" spans="1:13" ht="15.75" customHeight="1">
      <c r="A16" s="46" t="s">
        <v>30</v>
      </c>
      <c r="B16" s="33" t="s">
        <v>28</v>
      </c>
      <c r="C16" s="28">
        <f>49.9+11.3-5.6-3</f>
        <v>52.6</v>
      </c>
      <c r="D16" s="8"/>
      <c r="E16" s="28"/>
      <c r="F16" s="28"/>
      <c r="G16" s="28"/>
      <c r="H16" s="28"/>
      <c r="I16" s="28"/>
      <c r="J16" s="28"/>
      <c r="K16" s="28"/>
      <c r="L16" s="28"/>
      <c r="M16" s="28">
        <f>SUM(C16,F16)</f>
        <v>52.6</v>
      </c>
    </row>
    <row r="17" spans="1:13" ht="15.75" customHeight="1">
      <c r="A17" s="46" t="s">
        <v>40</v>
      </c>
      <c r="B17" s="33" t="s">
        <v>170</v>
      </c>
      <c r="C17" s="28">
        <f>15+17.8+1+10-25</f>
        <v>18.799999999999997</v>
      </c>
      <c r="D17" s="8"/>
      <c r="E17" s="28"/>
      <c r="F17" s="28"/>
      <c r="G17" s="28"/>
      <c r="H17" s="28"/>
      <c r="I17" s="28"/>
      <c r="J17" s="28"/>
      <c r="K17" s="28"/>
      <c r="L17" s="28"/>
      <c r="M17" s="28">
        <f>SUM(C17,F17)</f>
        <v>18.799999999999997</v>
      </c>
    </row>
    <row r="18" spans="1:13" ht="18" customHeight="1">
      <c r="A18" s="47"/>
      <c r="B18" s="9" t="s">
        <v>4</v>
      </c>
      <c r="C18" s="31">
        <f>C14+C15</f>
        <v>1167.8070000000002</v>
      </c>
      <c r="D18" s="31">
        <f>D14+D15</f>
        <v>636</v>
      </c>
      <c r="E18" s="31">
        <f>E14+E15</f>
        <v>122.5</v>
      </c>
      <c r="F18" s="31">
        <f>G18+J18</f>
        <v>3.8</v>
      </c>
      <c r="G18" s="31">
        <f>G14+G15</f>
        <v>1.8</v>
      </c>
      <c r="H18" s="31"/>
      <c r="I18" s="31"/>
      <c r="J18" s="31">
        <f>J14+J15</f>
        <v>2</v>
      </c>
      <c r="K18" s="31">
        <f>K14+K15</f>
        <v>2</v>
      </c>
      <c r="L18" s="31">
        <f>L14+L15</f>
        <v>2</v>
      </c>
      <c r="M18" s="55">
        <f>SUM(C18,F18)</f>
        <v>1171.6070000000002</v>
      </c>
    </row>
    <row r="19" spans="1:13" s="21" customFormat="1" ht="15.75">
      <c r="A19" s="47"/>
      <c r="B19" s="20"/>
      <c r="C19" s="28"/>
      <c r="D19" s="28"/>
      <c r="E19" s="28"/>
      <c r="F19" s="28"/>
      <c r="G19" s="28"/>
      <c r="H19" s="28"/>
      <c r="I19" s="28"/>
      <c r="J19" s="28"/>
      <c r="K19" s="28"/>
      <c r="L19" s="28"/>
      <c r="M19" s="28"/>
    </row>
    <row r="20" spans="1:14" s="21" customFormat="1" ht="15.75">
      <c r="A20" s="45" t="s">
        <v>187</v>
      </c>
      <c r="B20" s="14" t="s">
        <v>41</v>
      </c>
      <c r="C20" s="28"/>
      <c r="D20" s="28"/>
      <c r="E20" s="28"/>
      <c r="F20" s="28"/>
      <c r="G20" s="28"/>
      <c r="H20" s="28"/>
      <c r="I20" s="28"/>
      <c r="J20" s="28"/>
      <c r="K20" s="28"/>
      <c r="L20" s="28"/>
      <c r="M20" s="28"/>
      <c r="N20" s="66"/>
    </row>
    <row r="21" spans="1:14" s="21" customFormat="1" ht="15.75">
      <c r="A21" s="45" t="s">
        <v>64</v>
      </c>
      <c r="B21" s="39" t="s">
        <v>65</v>
      </c>
      <c r="C21" s="28">
        <v>24</v>
      </c>
      <c r="D21" s="28"/>
      <c r="E21" s="28"/>
      <c r="F21" s="28"/>
      <c r="G21" s="28"/>
      <c r="H21" s="28"/>
      <c r="I21" s="28"/>
      <c r="J21" s="28"/>
      <c r="K21" s="28"/>
      <c r="L21" s="28"/>
      <c r="M21" s="28">
        <f aca="true" t="shared" si="0" ref="M21:M32">SUM(C21,F21)</f>
        <v>24</v>
      </c>
      <c r="N21" s="66"/>
    </row>
    <row r="22" spans="1:14" s="21" customFormat="1" ht="15.75">
      <c r="A22" s="48" t="s">
        <v>42</v>
      </c>
      <c r="B22" s="34" t="s">
        <v>43</v>
      </c>
      <c r="C22" s="31">
        <f>C23+C25+C27+C28</f>
        <v>19409.425999999996</v>
      </c>
      <c r="D22" s="31">
        <f aca="true" t="shared" si="1" ref="D22:L22">D23+D25+D27</f>
        <v>10197.714999999998</v>
      </c>
      <c r="E22" s="31">
        <f t="shared" si="1"/>
        <v>1891.35</v>
      </c>
      <c r="F22" s="31">
        <f t="shared" si="1"/>
        <v>327.95000000000005</v>
      </c>
      <c r="G22" s="31">
        <f t="shared" si="1"/>
        <v>295.95000000000005</v>
      </c>
      <c r="H22" s="31">
        <f t="shared" si="1"/>
        <v>100</v>
      </c>
      <c r="I22" s="31">
        <f t="shared" si="1"/>
        <v>0</v>
      </c>
      <c r="J22" s="31">
        <f t="shared" si="1"/>
        <v>32</v>
      </c>
      <c r="K22" s="31">
        <f t="shared" si="1"/>
        <v>32</v>
      </c>
      <c r="L22" s="31">
        <f t="shared" si="1"/>
        <v>32</v>
      </c>
      <c r="M22" s="31">
        <f t="shared" si="0"/>
        <v>19737.375999999997</v>
      </c>
      <c r="N22" s="66"/>
    </row>
    <row r="23" spans="1:14" s="21" customFormat="1" ht="15.75">
      <c r="A23" s="49" t="s">
        <v>44</v>
      </c>
      <c r="B23" s="35" t="s">
        <v>166</v>
      </c>
      <c r="C23" s="28">
        <f>16537.9-140.2+49.942-365.45-297.431-96.448</f>
        <v>15688.312999999998</v>
      </c>
      <c r="D23" s="28">
        <f>8894.8-102.9-327.9-200-8.744</f>
        <v>8255.256</v>
      </c>
      <c r="E23" s="28">
        <f>1849.8-83.5-23-145.217</f>
        <v>1598.0829999999999</v>
      </c>
      <c r="F23" s="28">
        <f>G23+J23</f>
        <v>322</v>
      </c>
      <c r="G23" s="28">
        <v>290</v>
      </c>
      <c r="H23" s="28">
        <v>100</v>
      </c>
      <c r="I23" s="28"/>
      <c r="J23" s="23">
        <f>18+14</f>
        <v>32</v>
      </c>
      <c r="K23" s="23">
        <f>18+14</f>
        <v>32</v>
      </c>
      <c r="L23" s="23">
        <f>18+14</f>
        <v>32</v>
      </c>
      <c r="M23" s="28">
        <f t="shared" si="0"/>
        <v>16010.312999999998</v>
      </c>
      <c r="N23" s="66"/>
    </row>
    <row r="24" spans="1:14" s="21" customFormat="1" ht="15.75">
      <c r="A24" s="49"/>
      <c r="B24" s="35" t="s">
        <v>207</v>
      </c>
      <c r="C24" s="28">
        <v>223.5</v>
      </c>
      <c r="D24" s="28"/>
      <c r="E24" s="28"/>
      <c r="F24" s="28"/>
      <c r="G24" s="28"/>
      <c r="H24" s="28"/>
      <c r="I24" s="28"/>
      <c r="J24" s="23"/>
      <c r="K24" s="23"/>
      <c r="L24" s="23"/>
      <c r="M24" s="28">
        <f t="shared" si="0"/>
        <v>223.5</v>
      </c>
      <c r="N24" s="66"/>
    </row>
    <row r="25" spans="1:14" s="21" customFormat="1" ht="40.5" customHeight="1">
      <c r="A25" s="51" t="s">
        <v>156</v>
      </c>
      <c r="B25" s="60" t="s">
        <v>171</v>
      </c>
      <c r="C25" s="28">
        <f>1697+4.49+681.25+317.1-390.72</f>
        <v>2309.12</v>
      </c>
      <c r="D25" s="28">
        <f>1051.4+371.5+200-198.527</f>
        <v>1424.373</v>
      </c>
      <c r="E25" s="28">
        <f>191.9+83.5+23-103.028</f>
        <v>195.37199999999996</v>
      </c>
      <c r="F25" s="28">
        <f>G25+J25</f>
        <v>5.6</v>
      </c>
      <c r="G25" s="57">
        <v>5.6</v>
      </c>
      <c r="H25" s="57"/>
      <c r="I25" s="57"/>
      <c r="J25" s="57"/>
      <c r="K25" s="57"/>
      <c r="L25" s="57"/>
      <c r="M25" s="28">
        <f t="shared" si="0"/>
        <v>2314.72</v>
      </c>
      <c r="N25" s="66"/>
    </row>
    <row r="26" spans="1:14" s="21" customFormat="1" ht="24.75" customHeight="1">
      <c r="A26" s="51"/>
      <c r="B26" s="60" t="s">
        <v>207</v>
      </c>
      <c r="C26" s="28">
        <v>30</v>
      </c>
      <c r="D26" s="28"/>
      <c r="E26" s="28"/>
      <c r="F26" s="28"/>
      <c r="G26" s="57"/>
      <c r="H26" s="57"/>
      <c r="I26" s="57"/>
      <c r="J26" s="57"/>
      <c r="K26" s="57"/>
      <c r="L26" s="57"/>
      <c r="M26" s="28">
        <f t="shared" si="0"/>
        <v>30</v>
      </c>
      <c r="N26" s="66"/>
    </row>
    <row r="27" spans="1:14" s="21" customFormat="1" ht="15.75">
      <c r="A27" s="49" t="s">
        <v>157</v>
      </c>
      <c r="B27" s="35" t="s">
        <v>158</v>
      </c>
      <c r="C27" s="28">
        <f>982.9+3.525+1.4-132.742</f>
        <v>855.083</v>
      </c>
      <c r="D27" s="28">
        <f>580+1-62.914</f>
        <v>518.086</v>
      </c>
      <c r="E27" s="28">
        <f>133.4-35.505</f>
        <v>97.89500000000001</v>
      </c>
      <c r="F27" s="28">
        <f>G27+J27</f>
        <v>0.35</v>
      </c>
      <c r="G27" s="28">
        <v>0.35</v>
      </c>
      <c r="H27" s="28"/>
      <c r="I27" s="28"/>
      <c r="J27" s="23"/>
      <c r="K27" s="23"/>
      <c r="L27" s="23"/>
      <c r="M27" s="28">
        <f t="shared" si="0"/>
        <v>855.433</v>
      </c>
      <c r="N27" s="66"/>
    </row>
    <row r="28" spans="1:14" s="21" customFormat="1" ht="19.5" customHeight="1">
      <c r="A28" s="49" t="s">
        <v>223</v>
      </c>
      <c r="B28" s="35" t="s">
        <v>224</v>
      </c>
      <c r="C28" s="28">
        <v>556.91</v>
      </c>
      <c r="D28" s="28"/>
      <c r="E28" s="28"/>
      <c r="F28" s="28"/>
      <c r="G28" s="28"/>
      <c r="H28" s="28"/>
      <c r="I28" s="28"/>
      <c r="J28" s="23"/>
      <c r="K28" s="23"/>
      <c r="L28" s="23"/>
      <c r="M28" s="28"/>
      <c r="N28" s="66"/>
    </row>
    <row r="29" spans="1:14" s="21" customFormat="1" ht="15.75">
      <c r="A29" s="48" t="s">
        <v>37</v>
      </c>
      <c r="B29" s="36" t="s">
        <v>10</v>
      </c>
      <c r="C29" s="31">
        <f>C30+C33+C35+C32</f>
        <v>730.9399999999999</v>
      </c>
      <c r="D29" s="31">
        <f>D30+D33+D35</f>
        <v>400.918</v>
      </c>
      <c r="E29" s="31">
        <f>E30+E33+E35</f>
        <v>9.036999999999999</v>
      </c>
      <c r="F29" s="23"/>
      <c r="G29" s="23"/>
      <c r="H29" s="23"/>
      <c r="I29" s="23"/>
      <c r="J29" s="23"/>
      <c r="K29" s="23"/>
      <c r="L29" s="23"/>
      <c r="M29" s="31">
        <f t="shared" si="0"/>
        <v>730.9399999999999</v>
      </c>
      <c r="N29" s="66"/>
    </row>
    <row r="30" spans="1:14" s="21" customFormat="1" ht="15.75">
      <c r="A30" s="49" t="s">
        <v>45</v>
      </c>
      <c r="B30" s="35" t="s">
        <v>46</v>
      </c>
      <c r="C30" s="28">
        <f>105.9-4.9+651.54-38</f>
        <v>714.54</v>
      </c>
      <c r="D30" s="28">
        <f>75.491-3.6+374.027+4-49</f>
        <v>400.918</v>
      </c>
      <c r="E30" s="28">
        <f>1.537+7.5</f>
        <v>9.036999999999999</v>
      </c>
      <c r="F30" s="28">
        <f>G30+J30</f>
        <v>207.36</v>
      </c>
      <c r="G30" s="28"/>
      <c r="H30" s="28"/>
      <c r="I30" s="28"/>
      <c r="J30" s="23">
        <f>172.86+34.5</f>
        <v>207.36</v>
      </c>
      <c r="K30" s="23">
        <f>172.86+34.5</f>
        <v>207.36</v>
      </c>
      <c r="L30" s="23">
        <f>172.86+34.5</f>
        <v>207.36</v>
      </c>
      <c r="M30" s="28">
        <f t="shared" si="0"/>
        <v>921.9</v>
      </c>
      <c r="N30" s="66"/>
    </row>
    <row r="31" spans="1:14" s="21" customFormat="1" ht="15.75">
      <c r="A31" s="49"/>
      <c r="B31" s="35" t="s">
        <v>47</v>
      </c>
      <c r="C31" s="28"/>
      <c r="D31" s="28"/>
      <c r="E31" s="28"/>
      <c r="F31" s="28"/>
      <c r="G31" s="28"/>
      <c r="H31" s="28"/>
      <c r="I31" s="28"/>
      <c r="J31" s="28"/>
      <c r="K31" s="28"/>
      <c r="L31" s="28"/>
      <c r="M31" s="28"/>
      <c r="N31" s="66"/>
    </row>
    <row r="32" spans="1:14" s="21" customFormat="1" ht="31.5">
      <c r="A32" s="74" t="s">
        <v>184</v>
      </c>
      <c r="B32" s="67" t="s">
        <v>185</v>
      </c>
      <c r="C32" s="28">
        <v>2.5</v>
      </c>
      <c r="D32" s="28"/>
      <c r="E32" s="28"/>
      <c r="F32" s="28"/>
      <c r="G32" s="28"/>
      <c r="H32" s="28"/>
      <c r="I32" s="28"/>
      <c r="J32" s="28"/>
      <c r="K32" s="28"/>
      <c r="L32" s="28"/>
      <c r="M32" s="28">
        <f t="shared" si="0"/>
        <v>2.5</v>
      </c>
      <c r="N32" s="66"/>
    </row>
    <row r="33" spans="1:14" s="21" customFormat="1" ht="15.75">
      <c r="A33" s="49" t="s">
        <v>48</v>
      </c>
      <c r="B33" s="35" t="s">
        <v>49</v>
      </c>
      <c r="C33" s="28">
        <v>6</v>
      </c>
      <c r="D33" s="28"/>
      <c r="E33" s="28"/>
      <c r="F33" s="28"/>
      <c r="G33" s="28"/>
      <c r="H33" s="28"/>
      <c r="I33" s="28"/>
      <c r="J33" s="28"/>
      <c r="K33" s="28"/>
      <c r="L33" s="28"/>
      <c r="M33" s="28">
        <f>SUM(C33,F33)</f>
        <v>6</v>
      </c>
      <c r="N33" s="66"/>
    </row>
    <row r="34" spans="1:14" s="21" customFormat="1" ht="15.75">
      <c r="A34" s="49"/>
      <c r="B34" s="35" t="s">
        <v>50</v>
      </c>
      <c r="C34" s="28"/>
      <c r="D34" s="28"/>
      <c r="E34" s="28"/>
      <c r="F34" s="28"/>
      <c r="G34" s="28"/>
      <c r="H34" s="28"/>
      <c r="I34" s="28"/>
      <c r="J34" s="28"/>
      <c r="K34" s="28"/>
      <c r="L34" s="28"/>
      <c r="M34" s="28"/>
      <c r="N34" s="66"/>
    </row>
    <row r="35" spans="1:14" s="21" customFormat="1" ht="15.75">
      <c r="A35" s="49" t="s">
        <v>51</v>
      </c>
      <c r="B35" s="35" t="s">
        <v>120</v>
      </c>
      <c r="C35" s="28">
        <f>1+6.9</f>
        <v>7.9</v>
      </c>
      <c r="D35" s="28"/>
      <c r="E35" s="28"/>
      <c r="F35" s="28"/>
      <c r="G35" s="28"/>
      <c r="H35" s="28"/>
      <c r="I35" s="28"/>
      <c r="J35" s="28"/>
      <c r="K35" s="28"/>
      <c r="L35" s="28"/>
      <c r="M35" s="28">
        <f>SUM(C35,F35)</f>
        <v>7.9</v>
      </c>
      <c r="N35" s="66"/>
    </row>
    <row r="36" spans="1:14" s="21" customFormat="1" ht="15.75">
      <c r="A36" s="49"/>
      <c r="B36" s="35"/>
      <c r="C36" s="28"/>
      <c r="D36" s="28"/>
      <c r="E36" s="28"/>
      <c r="F36" s="28"/>
      <c r="G36" s="28"/>
      <c r="H36" s="28"/>
      <c r="I36" s="28"/>
      <c r="J36" s="28"/>
      <c r="K36" s="28"/>
      <c r="L36" s="28"/>
      <c r="M36" s="28"/>
      <c r="N36" s="66"/>
    </row>
    <row r="37" spans="1:14" s="21" customFormat="1" ht="15.75">
      <c r="A37" s="48" t="s">
        <v>52</v>
      </c>
      <c r="B37" s="36" t="s">
        <v>53</v>
      </c>
      <c r="C37" s="31">
        <f>C38+C39</f>
        <v>75.5</v>
      </c>
      <c r="D37" s="31"/>
      <c r="E37" s="31"/>
      <c r="F37" s="31"/>
      <c r="G37" s="31"/>
      <c r="H37" s="31"/>
      <c r="I37" s="31"/>
      <c r="J37" s="31"/>
      <c r="K37" s="31"/>
      <c r="L37" s="31"/>
      <c r="M37" s="31">
        <f>SUM(C37,F37)</f>
        <v>75.5</v>
      </c>
      <c r="N37" s="66"/>
    </row>
    <row r="38" spans="1:14" s="21" customFormat="1" ht="15.75">
      <c r="A38" s="49" t="s">
        <v>164</v>
      </c>
      <c r="B38" s="35" t="s">
        <v>165</v>
      </c>
      <c r="C38" s="28">
        <f>7+4</f>
        <v>11</v>
      </c>
      <c r="D38" s="28"/>
      <c r="E38" s="28"/>
      <c r="F38" s="28"/>
      <c r="G38" s="28"/>
      <c r="H38" s="28"/>
      <c r="I38" s="28"/>
      <c r="J38" s="28"/>
      <c r="K38" s="28"/>
      <c r="L38" s="28"/>
      <c r="M38" s="28">
        <f>SUM(C38,F38)</f>
        <v>11</v>
      </c>
      <c r="N38" s="66"/>
    </row>
    <row r="39" spans="1:14" s="21" customFormat="1" ht="31.5">
      <c r="A39" s="51" t="s">
        <v>20</v>
      </c>
      <c r="B39" s="35" t="s">
        <v>159</v>
      </c>
      <c r="C39" s="28">
        <f>43.5+21</f>
        <v>64.5</v>
      </c>
      <c r="D39" s="28"/>
      <c r="E39" s="28"/>
      <c r="F39" s="28"/>
      <c r="G39" s="28"/>
      <c r="H39" s="28"/>
      <c r="I39" s="28"/>
      <c r="J39" s="28"/>
      <c r="K39" s="28"/>
      <c r="L39" s="28"/>
      <c r="M39" s="28">
        <f>SUM(C39,F39)</f>
        <v>64.5</v>
      </c>
      <c r="N39" s="66"/>
    </row>
    <row r="40" spans="1:14" s="21" customFormat="1" ht="9.75" customHeight="1">
      <c r="A40" s="51"/>
      <c r="B40" s="35"/>
      <c r="C40" s="28"/>
      <c r="D40" s="28"/>
      <c r="E40" s="28"/>
      <c r="F40" s="28"/>
      <c r="G40" s="28"/>
      <c r="H40" s="28"/>
      <c r="I40" s="28"/>
      <c r="J40" s="28"/>
      <c r="K40" s="28"/>
      <c r="L40" s="28"/>
      <c r="M40" s="28"/>
      <c r="N40" s="66"/>
    </row>
    <row r="41" spans="1:14" s="21" customFormat="1" ht="53.25" customHeight="1">
      <c r="A41" s="51" t="s">
        <v>213</v>
      </c>
      <c r="B41" s="41" t="s">
        <v>214</v>
      </c>
      <c r="C41" s="28"/>
      <c r="D41" s="28"/>
      <c r="E41" s="28"/>
      <c r="F41" s="28">
        <f>G41+J41</f>
        <v>359.2</v>
      </c>
      <c r="G41" s="28">
        <v>114.8</v>
      </c>
      <c r="H41" s="28"/>
      <c r="I41" s="28"/>
      <c r="J41" s="28">
        <v>244.4</v>
      </c>
      <c r="K41" s="28"/>
      <c r="L41" s="28"/>
      <c r="M41" s="28">
        <f>SUM(C41,F41)</f>
        <v>359.2</v>
      </c>
      <c r="N41" s="66"/>
    </row>
    <row r="42" spans="1:14" s="21" customFormat="1" ht="32.25" customHeight="1">
      <c r="A42" s="51" t="s">
        <v>225</v>
      </c>
      <c r="B42" s="41" t="s">
        <v>226</v>
      </c>
      <c r="C42" s="28">
        <v>1.118</v>
      </c>
      <c r="D42" s="28"/>
      <c r="E42" s="28"/>
      <c r="F42" s="28"/>
      <c r="G42" s="28"/>
      <c r="H42" s="28"/>
      <c r="I42" s="28"/>
      <c r="J42" s="28"/>
      <c r="K42" s="28"/>
      <c r="L42" s="28"/>
      <c r="M42" s="28">
        <f>SUM(C42,F42)</f>
        <v>1.118</v>
      </c>
      <c r="N42" s="66"/>
    </row>
    <row r="43" spans="1:14" s="21" customFormat="1" ht="20.25" customHeight="1">
      <c r="A43" s="50" t="s">
        <v>54</v>
      </c>
      <c r="B43" s="37" t="s">
        <v>55</v>
      </c>
      <c r="C43" s="75">
        <f>15+7.38572+3.373</f>
        <v>25.75872</v>
      </c>
      <c r="D43" s="28"/>
      <c r="E43" s="28"/>
      <c r="F43" s="28"/>
      <c r="G43" s="28"/>
      <c r="H43" s="28"/>
      <c r="I43" s="28"/>
      <c r="J43" s="28"/>
      <c r="K43" s="28"/>
      <c r="L43" s="28"/>
      <c r="M43" s="75">
        <f>SUM(C43,F43)</f>
        <v>25.75872</v>
      </c>
      <c r="N43" s="66"/>
    </row>
    <row r="44" spans="1:14" s="21" customFormat="1" ht="15.75">
      <c r="A44" s="50"/>
      <c r="B44" s="37" t="s">
        <v>56</v>
      </c>
      <c r="C44" s="31"/>
      <c r="D44" s="28"/>
      <c r="E44" s="28"/>
      <c r="F44" s="28"/>
      <c r="G44" s="28"/>
      <c r="H44" s="28"/>
      <c r="I44" s="28"/>
      <c r="J44" s="28"/>
      <c r="K44" s="28"/>
      <c r="L44" s="28"/>
      <c r="M44" s="28"/>
      <c r="N44" s="66"/>
    </row>
    <row r="45" spans="1:14" s="21" customFormat="1" ht="16.5" customHeight="1">
      <c r="A45" s="50" t="s">
        <v>215</v>
      </c>
      <c r="B45" s="76" t="s">
        <v>216</v>
      </c>
      <c r="C45" s="31"/>
      <c r="D45" s="28"/>
      <c r="E45" s="28"/>
      <c r="F45" s="28">
        <f>G45+J45</f>
        <v>40.9</v>
      </c>
      <c r="G45" s="28">
        <v>40.9</v>
      </c>
      <c r="H45" s="28"/>
      <c r="I45" s="28"/>
      <c r="J45" s="28"/>
      <c r="K45" s="28"/>
      <c r="L45" s="28"/>
      <c r="M45" s="28">
        <f>SUM(C45,F45)</f>
        <v>40.9</v>
      </c>
      <c r="N45" s="66"/>
    </row>
    <row r="46" spans="1:14" s="21" customFormat="1" ht="33" customHeight="1">
      <c r="A46" s="51" t="s">
        <v>25</v>
      </c>
      <c r="B46" s="38" t="s">
        <v>99</v>
      </c>
      <c r="C46" s="28">
        <f>59.8+1+45+6.6</f>
        <v>112.39999999999999</v>
      </c>
      <c r="D46" s="59"/>
      <c r="E46" s="28"/>
      <c r="F46" s="28"/>
      <c r="G46" s="28"/>
      <c r="H46" s="28"/>
      <c r="I46" s="28"/>
      <c r="J46" s="28"/>
      <c r="K46" s="28"/>
      <c r="L46" s="28"/>
      <c r="M46" s="28">
        <f>SUM(C46,F46)</f>
        <v>112.39999999999999</v>
      </c>
      <c r="N46" s="66"/>
    </row>
    <row r="47" spans="1:14" s="21" customFormat="1" ht="68.25" customHeight="1">
      <c r="A47" s="65" t="s">
        <v>25</v>
      </c>
      <c r="B47" s="38" t="s">
        <v>206</v>
      </c>
      <c r="C47" s="28">
        <f>20-15</f>
        <v>5</v>
      </c>
      <c r="D47" s="59"/>
      <c r="E47" s="28"/>
      <c r="F47" s="28"/>
      <c r="G47" s="28"/>
      <c r="H47" s="28"/>
      <c r="I47" s="28"/>
      <c r="J47" s="28"/>
      <c r="K47" s="28"/>
      <c r="L47" s="28"/>
      <c r="M47" s="28">
        <f>SUM(C47,F47)</f>
        <v>5</v>
      </c>
      <c r="N47" s="66"/>
    </row>
    <row r="48" spans="1:14" ht="15.75">
      <c r="A48" s="47"/>
      <c r="B48" s="14" t="s">
        <v>11</v>
      </c>
      <c r="C48" s="31">
        <f>C22+C29+C37+C43+C46+C47+C21+C42</f>
        <v>20384.142719999996</v>
      </c>
      <c r="D48" s="31">
        <f aca="true" t="shared" si="2" ref="D48:I48">D22+D29+D37+D43+D46</f>
        <v>10598.632999999998</v>
      </c>
      <c r="E48" s="31">
        <f t="shared" si="2"/>
        <v>1900.387</v>
      </c>
      <c r="F48" s="31">
        <f>F22+F29+F37+F43+F46+F41+F45</f>
        <v>728.0500000000001</v>
      </c>
      <c r="G48" s="31">
        <f>G22+G29+G37+G43+G46+G41+G45</f>
        <v>451.65000000000003</v>
      </c>
      <c r="H48" s="31">
        <f t="shared" si="2"/>
        <v>100</v>
      </c>
      <c r="I48" s="31">
        <f t="shared" si="2"/>
        <v>0</v>
      </c>
      <c r="J48" s="31">
        <f>J22+J29+J37+J43+J46+J41+J30</f>
        <v>483.76</v>
      </c>
      <c r="K48" s="31">
        <f>K22+K29+K37+K43+K46+K41+K30</f>
        <v>239.36</v>
      </c>
      <c r="L48" s="31">
        <f>L22+L29+L37+L43+L46+L41+L30</f>
        <v>239.36</v>
      </c>
      <c r="M48" s="31">
        <f>C48+F48</f>
        <v>21112.192719999995</v>
      </c>
      <c r="N48" s="25"/>
    </row>
    <row r="49" spans="1:14" ht="15.75">
      <c r="A49" s="46" t="s">
        <v>188</v>
      </c>
      <c r="B49" s="22" t="s">
        <v>57</v>
      </c>
      <c r="C49" s="28"/>
      <c r="D49" s="28"/>
      <c r="E49" s="28"/>
      <c r="F49" s="28"/>
      <c r="G49" s="28"/>
      <c r="H49" s="28"/>
      <c r="I49" s="28"/>
      <c r="J49" s="28"/>
      <c r="K49" s="28"/>
      <c r="L49" s="28"/>
      <c r="M49" s="28"/>
      <c r="N49" s="25"/>
    </row>
    <row r="50" spans="1:14" ht="15.75">
      <c r="A50" s="52" t="s">
        <v>58</v>
      </c>
      <c r="B50" s="9" t="s">
        <v>12</v>
      </c>
      <c r="C50" s="31">
        <f>C51+C52+C53+C54+C55+C56+C58+C57</f>
        <v>45934.378000000004</v>
      </c>
      <c r="D50" s="31">
        <f aca="true" t="shared" si="3" ref="D50:L50">D51+D52+D53+D54+D55+D56+D58+D57</f>
        <v>27790.323</v>
      </c>
      <c r="E50" s="31">
        <f t="shared" si="3"/>
        <v>5335.219999999999</v>
      </c>
      <c r="F50" s="31">
        <f t="shared" si="3"/>
        <v>380.768</v>
      </c>
      <c r="G50" s="31">
        <f t="shared" si="3"/>
        <v>20.4</v>
      </c>
      <c r="H50" s="31">
        <f t="shared" si="3"/>
        <v>0</v>
      </c>
      <c r="I50" s="31">
        <f t="shared" si="3"/>
        <v>0</v>
      </c>
      <c r="J50" s="31">
        <f t="shared" si="3"/>
        <v>360.368</v>
      </c>
      <c r="K50" s="31">
        <f t="shared" si="3"/>
        <v>360.368</v>
      </c>
      <c r="L50" s="31">
        <f t="shared" si="3"/>
        <v>343.368</v>
      </c>
      <c r="M50" s="31">
        <f aca="true" t="shared" si="4" ref="M50:M60">SUM(C50,F50)</f>
        <v>46315.146</v>
      </c>
      <c r="N50" s="25"/>
    </row>
    <row r="51" spans="1:14" ht="47.25">
      <c r="A51" s="74" t="s">
        <v>59</v>
      </c>
      <c r="B51" s="60" t="s">
        <v>208</v>
      </c>
      <c r="C51" s="28">
        <f>39269.885+70.03-10+348-4.6+12.164+1.5+25.9+1207.635+105.911-30+273.6+39.347</f>
        <v>41309.372</v>
      </c>
      <c r="D51" s="28">
        <f>23901.824-7.337+255.6-3.4+1+884.27+233.4</f>
        <v>25265.357</v>
      </c>
      <c r="E51" s="28">
        <f>5083.205+300-384.1</f>
        <v>4999.105</v>
      </c>
      <c r="F51" s="28">
        <f>G51+J51</f>
        <v>365.768</v>
      </c>
      <c r="G51" s="28">
        <v>5.4</v>
      </c>
      <c r="H51" s="28"/>
      <c r="I51" s="28"/>
      <c r="J51" s="28">
        <f>150.5+69.668+20.5+68.4+30+16.8+4.5</f>
        <v>360.368</v>
      </c>
      <c r="K51" s="28">
        <f>150.5+69.668+20.5+68.4+30+16.8+4.5</f>
        <v>360.368</v>
      </c>
      <c r="L51" s="28">
        <f>133.5+69.668+20.5+68.4+30+16.8+4.5</f>
        <v>343.368</v>
      </c>
      <c r="M51" s="28">
        <f t="shared" si="4"/>
        <v>41675.14</v>
      </c>
      <c r="N51" s="25"/>
    </row>
    <row r="52" spans="1:14" ht="31.5">
      <c r="A52" s="51" t="s">
        <v>60</v>
      </c>
      <c r="B52" s="38" t="s">
        <v>169</v>
      </c>
      <c r="C52" s="28">
        <f>1533.604+2.616+1+1.26+3+64.839</f>
        <v>1606.319</v>
      </c>
      <c r="D52" s="28">
        <f>990.397+0.93+25.5</f>
        <v>1016.827</v>
      </c>
      <c r="E52" s="28">
        <f>109.465+11.5</f>
        <v>120.965</v>
      </c>
      <c r="F52" s="28">
        <f>G52+J52</f>
        <v>15</v>
      </c>
      <c r="G52" s="28">
        <v>15</v>
      </c>
      <c r="H52" s="28"/>
      <c r="I52" s="28"/>
      <c r="J52" s="28"/>
      <c r="K52" s="28"/>
      <c r="L52" s="28"/>
      <c r="M52" s="28">
        <f t="shared" si="4"/>
        <v>1621.319</v>
      </c>
      <c r="N52" s="25"/>
    </row>
    <row r="53" spans="1:14" ht="18" customHeight="1">
      <c r="A53" s="49" t="s">
        <v>61</v>
      </c>
      <c r="B53" s="39" t="s">
        <v>168</v>
      </c>
      <c r="C53" s="28">
        <f>1388.863+5-885.181+6.6+7.2</f>
        <v>522.4820000000001</v>
      </c>
      <c r="D53" s="28">
        <f>879.7-546.07+5.8</f>
        <v>339.43</v>
      </c>
      <c r="E53" s="28">
        <f>170.77-131.39-5.6</f>
        <v>33.78000000000002</v>
      </c>
      <c r="F53" s="28"/>
      <c r="G53" s="28"/>
      <c r="H53" s="28"/>
      <c r="I53" s="28"/>
      <c r="J53" s="28"/>
      <c r="K53" s="28"/>
      <c r="L53" s="28"/>
      <c r="M53" s="28">
        <f t="shared" si="4"/>
        <v>522.4820000000001</v>
      </c>
      <c r="N53" s="25"/>
    </row>
    <row r="54" spans="1:14" ht="31.5">
      <c r="A54" s="51" t="s">
        <v>62</v>
      </c>
      <c r="B54" s="35" t="s">
        <v>172</v>
      </c>
      <c r="C54" s="28">
        <f>623.459-33.6+2.69-4.635+6.7</f>
        <v>594.614</v>
      </c>
      <c r="D54" s="28">
        <f>415.759-24.7-3.401-3.52</f>
        <v>384.13800000000003</v>
      </c>
      <c r="E54" s="28">
        <f>43.78+6.7</f>
        <v>50.480000000000004</v>
      </c>
      <c r="F54" s="28"/>
      <c r="G54" s="28"/>
      <c r="H54" s="28"/>
      <c r="I54" s="28"/>
      <c r="J54" s="28"/>
      <c r="K54" s="28"/>
      <c r="L54" s="28"/>
      <c r="M54" s="28">
        <f t="shared" si="4"/>
        <v>594.614</v>
      </c>
      <c r="N54" s="25"/>
    </row>
    <row r="55" spans="1:14" ht="17.25" customHeight="1">
      <c r="A55" s="49" t="s">
        <v>63</v>
      </c>
      <c r="B55" s="35" t="s">
        <v>167</v>
      </c>
      <c r="C55" s="28">
        <f>412.528-17.2+1.595+2.285+4.635+6.016</f>
        <v>409.8590000000001</v>
      </c>
      <c r="D55" s="28">
        <f>269.98-12.8+1.68+3.401+1.63</f>
        <v>263.891</v>
      </c>
      <c r="E55" s="28"/>
      <c r="F55" s="28"/>
      <c r="G55" s="28"/>
      <c r="H55" s="28"/>
      <c r="I55" s="28"/>
      <c r="J55" s="28"/>
      <c r="K55" s="28"/>
      <c r="L55" s="28"/>
      <c r="M55" s="28">
        <f t="shared" si="4"/>
        <v>409.8590000000001</v>
      </c>
      <c r="N55" s="25"/>
    </row>
    <row r="56" spans="1:14" ht="15.75">
      <c r="A56" s="49" t="s">
        <v>64</v>
      </c>
      <c r="B56" s="39" t="s">
        <v>65</v>
      </c>
      <c r="C56" s="28">
        <f>362.8+2.601+5.8+244-3.64</f>
        <v>611.561</v>
      </c>
      <c r="D56" s="28"/>
      <c r="E56" s="28"/>
      <c r="F56" s="28">
        <f>G56+J56</f>
        <v>0</v>
      </c>
      <c r="G56" s="28"/>
      <c r="H56" s="28"/>
      <c r="I56" s="28"/>
      <c r="J56" s="28"/>
      <c r="K56" s="28"/>
      <c r="L56" s="28"/>
      <c r="M56" s="28">
        <f t="shared" si="4"/>
        <v>611.561</v>
      </c>
      <c r="N56" s="25"/>
    </row>
    <row r="57" spans="1:14" ht="15.75">
      <c r="A57" s="49" t="s">
        <v>199</v>
      </c>
      <c r="B57" s="39" t="s">
        <v>200</v>
      </c>
      <c r="C57" s="28">
        <f>887.101-37.7</f>
        <v>849.401</v>
      </c>
      <c r="D57" s="28">
        <f>547.48-26.8</f>
        <v>520.6800000000001</v>
      </c>
      <c r="E57" s="28">
        <f>131.39-0.5</f>
        <v>130.89</v>
      </c>
      <c r="F57" s="28"/>
      <c r="G57" s="28"/>
      <c r="H57" s="28"/>
      <c r="I57" s="28"/>
      <c r="J57" s="28"/>
      <c r="K57" s="28"/>
      <c r="L57" s="28"/>
      <c r="M57" s="28"/>
      <c r="N57" s="25"/>
    </row>
    <row r="58" spans="1:14" ht="31.5">
      <c r="A58" s="51" t="s">
        <v>66</v>
      </c>
      <c r="B58" s="35" t="s">
        <v>131</v>
      </c>
      <c r="C58" s="28">
        <f>100.8-70.03</f>
        <v>30.769999999999996</v>
      </c>
      <c r="D58" s="28"/>
      <c r="E58" s="28"/>
      <c r="F58" s="28"/>
      <c r="G58" s="28"/>
      <c r="H58" s="28"/>
      <c r="I58" s="28"/>
      <c r="J58" s="28"/>
      <c r="K58" s="28"/>
      <c r="L58" s="28"/>
      <c r="M58" s="28">
        <f t="shared" si="4"/>
        <v>30.769999999999996</v>
      </c>
      <c r="N58" s="25"/>
    </row>
    <row r="59" spans="1:14" ht="32.25" customHeight="1">
      <c r="A59" s="53" t="s">
        <v>19</v>
      </c>
      <c r="B59" s="35" t="s">
        <v>173</v>
      </c>
      <c r="C59" s="28">
        <f>927.51+3.916+2.4+10.54-22.562</f>
        <v>921.804</v>
      </c>
      <c r="D59" s="28">
        <f>591.644+1.8-17.202</f>
        <v>576.242</v>
      </c>
      <c r="E59" s="28">
        <f>113.05-9</f>
        <v>104.05</v>
      </c>
      <c r="F59" s="28"/>
      <c r="G59" s="28"/>
      <c r="H59" s="28"/>
      <c r="I59" s="28"/>
      <c r="J59" s="28"/>
      <c r="K59" s="28"/>
      <c r="L59" s="28"/>
      <c r="M59" s="28">
        <f t="shared" si="4"/>
        <v>921.804</v>
      </c>
      <c r="N59" s="25"/>
    </row>
    <row r="60" spans="1:14" ht="32.25" customHeight="1">
      <c r="A60" s="53" t="s">
        <v>54</v>
      </c>
      <c r="B60" s="37" t="s">
        <v>218</v>
      </c>
      <c r="C60" s="28">
        <v>10</v>
      </c>
      <c r="D60" s="28"/>
      <c r="E60" s="28"/>
      <c r="F60" s="28"/>
      <c r="G60" s="28"/>
      <c r="H60" s="28"/>
      <c r="I60" s="28"/>
      <c r="J60" s="28"/>
      <c r="K60" s="28"/>
      <c r="L60" s="28"/>
      <c r="M60" s="28">
        <f t="shared" si="4"/>
        <v>10</v>
      </c>
      <c r="N60" s="25"/>
    </row>
    <row r="61" spans="1:14" ht="21" customHeight="1">
      <c r="A61" s="45"/>
      <c r="B61" s="9" t="s">
        <v>11</v>
      </c>
      <c r="C61" s="31">
        <f>C50+C59+C60</f>
        <v>46866.182</v>
      </c>
      <c r="D61" s="31">
        <f>D50+D59</f>
        <v>28366.565</v>
      </c>
      <c r="E61" s="31">
        <f>E50+E59</f>
        <v>5439.2699999999995</v>
      </c>
      <c r="F61" s="31">
        <f>G61+J61</f>
        <v>380.768</v>
      </c>
      <c r="G61" s="31">
        <f>G50+G59</f>
        <v>20.4</v>
      </c>
      <c r="H61" s="23"/>
      <c r="I61" s="23"/>
      <c r="J61" s="31">
        <f>J50+J59</f>
        <v>360.368</v>
      </c>
      <c r="K61" s="31">
        <f>K50+K59</f>
        <v>360.368</v>
      </c>
      <c r="L61" s="31">
        <f>L50+L59</f>
        <v>343.368</v>
      </c>
      <c r="M61" s="31">
        <f>SUM(C61,F61)</f>
        <v>47246.95</v>
      </c>
      <c r="N61" s="25"/>
    </row>
    <row r="62" spans="1:14" ht="35.25" customHeight="1">
      <c r="A62" s="46" t="s">
        <v>189</v>
      </c>
      <c r="B62" s="18" t="s">
        <v>67</v>
      </c>
      <c r="C62" s="28"/>
      <c r="D62" s="28"/>
      <c r="E62" s="28"/>
      <c r="F62" s="28"/>
      <c r="G62" s="28"/>
      <c r="H62" s="28"/>
      <c r="I62" s="28"/>
      <c r="J62" s="28"/>
      <c r="K62" s="28"/>
      <c r="L62" s="28"/>
      <c r="M62" s="28"/>
      <c r="N62" s="25"/>
    </row>
    <row r="63" spans="1:14" ht="15.75">
      <c r="A63" s="52" t="s">
        <v>9</v>
      </c>
      <c r="B63" s="9" t="s">
        <v>10</v>
      </c>
      <c r="C63" s="31">
        <f>C64+C65+C66+C67+C69+C71+C72+C73+C74+C75+C76+C77+C80+C81+C82+C83+C84+C85+C87+C88+C90+C92+C93+C97+C101+C102+C105+C103+C104+C89+C91+C78+C79+C86+C100+C98+C99</f>
        <v>49052.737</v>
      </c>
      <c r="D63" s="31">
        <f>D64+D65+D66+D67+D69+D71+D72+D73+D74+D75+D76+D77+D80+D81+D82+D83+D84+D85+D87+D88+D90+D92+D93+D97+D101+D102+D105+D103+D104+D89+D91+D78+D79+D86+D100+D98+D99</f>
        <v>1943.9980000000003</v>
      </c>
      <c r="E63" s="31">
        <f>E64+E65+E66+E67+E69+E71+E72+E73+E74+E75+E76+E77+E80+E81+E82+E83+E84+E85+E87+E88+E90+E92+E93+E97+E101+E102+E105+E103+E104+E89+E91</f>
        <v>111.145</v>
      </c>
      <c r="F63" s="31">
        <f>F64+F65+F66+F67+F69+F71+F72+F73+F74+F75+F76+F77+F80+F81+F82+F83+F84+F85+F87+F88+F90+F92+F93+F97+F101+F102+F105+F103+F104+F89</f>
        <v>131.9</v>
      </c>
      <c r="G63" s="31">
        <f>G64+G65+G66+G67+G69+G71+G72+G73+G74+G75+G76+G77+G80+G81+G82+G83+G84+G85+G87+G88+G90+G92+G93+G97+G101+G102+G105+G103+G104+G89</f>
        <v>125</v>
      </c>
      <c r="H63" s="31">
        <f>H64+H65+H66+H67+H69+H71+H72+H73+H74+H75+H76+H77+H80+H81+H82+H83+H84+H85+H87+H88+H90+H92+H93+H97+H101+H102+H105+H103+H104+H89</f>
        <v>7</v>
      </c>
      <c r="I63" s="31">
        <f>I64+I65+I66+I67+I69+I71+I72+I73+I74+I75+I76+I77+I80+I81+I82+I83+I84+I85+I87+I88+I90+I92+I93+I97+I101+I102+I105+I103+I104+I89</f>
        <v>0</v>
      </c>
      <c r="J63" s="31">
        <f>J64+J65+J66+J67+J69+J71+J72+J73+J74+J75+J76+J77+J80+J81+J82+J83+J84+J85+J87+J88+J90+J92+J93+J97+J101+J102+J105+J103+J104+J89+J99</f>
        <v>15.9</v>
      </c>
      <c r="K63" s="31">
        <f>K64+K65+K66+K67+K69+K71+K72+K73+K74+K75+K76+K77+K80+K81+K82+K83+K84+K85+K87+K88+K90+K92+K93+K97+K101+K102+K105+K103+K104+K89+K99</f>
        <v>15.9</v>
      </c>
      <c r="L63" s="31">
        <f>L64+L65+L66+L67+L69+L71+L72+L73+L74+L75+L76+L77+L80+L81+L82+L83+L84+L85+L87+L88+L90+L92+L93+L97+L101+L102+L105+L103+L104+L89+L99</f>
        <v>15.9</v>
      </c>
      <c r="M63" s="31">
        <f>SUM(C63,F63)</f>
        <v>49184.637</v>
      </c>
      <c r="N63" s="25"/>
    </row>
    <row r="64" spans="1:14" ht="213.75" customHeight="1">
      <c r="A64" s="46" t="s">
        <v>68</v>
      </c>
      <c r="B64" s="19" t="s">
        <v>115</v>
      </c>
      <c r="C64" s="28">
        <f>2696.7-120.476</f>
        <v>2576.2239999999997</v>
      </c>
      <c r="D64" s="28"/>
      <c r="E64" s="28"/>
      <c r="F64" s="23"/>
      <c r="G64" s="28"/>
      <c r="H64" s="28"/>
      <c r="I64" s="28"/>
      <c r="J64" s="28"/>
      <c r="K64" s="28"/>
      <c r="L64" s="28"/>
      <c r="M64" s="28">
        <f>SUM(C64,F64)</f>
        <v>2576.2239999999997</v>
      </c>
      <c r="N64" s="25"/>
    </row>
    <row r="65" spans="1:14" ht="193.5" customHeight="1">
      <c r="A65" s="46" t="s">
        <v>69</v>
      </c>
      <c r="B65" s="19" t="s">
        <v>101</v>
      </c>
      <c r="C65" s="28">
        <f>149.934</f>
        <v>149.934</v>
      </c>
      <c r="D65" s="28"/>
      <c r="E65" s="28"/>
      <c r="F65" s="23"/>
      <c r="G65" s="28"/>
      <c r="H65" s="28"/>
      <c r="I65" s="28"/>
      <c r="J65" s="28"/>
      <c r="K65" s="28"/>
      <c r="L65" s="28"/>
      <c r="M65" s="28">
        <f>SUM(C65,F65)</f>
        <v>149.934</v>
      </c>
      <c r="N65" s="25"/>
    </row>
    <row r="66" spans="1:14" ht="210.75" customHeight="1">
      <c r="A66" s="46" t="s">
        <v>70</v>
      </c>
      <c r="B66" s="19" t="s">
        <v>102</v>
      </c>
      <c r="C66" s="28">
        <f>38.4-4.5+18.5</f>
        <v>52.4</v>
      </c>
      <c r="D66" s="28"/>
      <c r="E66" s="28"/>
      <c r="F66" s="57">
        <f>G66+J66</f>
        <v>1.4</v>
      </c>
      <c r="G66" s="28"/>
      <c r="H66" s="28"/>
      <c r="I66" s="28"/>
      <c r="J66" s="28">
        <f>5-3.6</f>
        <v>1.4</v>
      </c>
      <c r="K66" s="28">
        <f>5-3.6</f>
        <v>1.4</v>
      </c>
      <c r="L66" s="28">
        <f>5-3.6</f>
        <v>1.4</v>
      </c>
      <c r="M66" s="28">
        <f>SUM(C66,F66)</f>
        <v>53.8</v>
      </c>
      <c r="N66" s="25"/>
    </row>
    <row r="67" spans="1:14" ht="316.5" customHeight="1">
      <c r="A67" s="46" t="s">
        <v>71</v>
      </c>
      <c r="B67" s="19" t="s">
        <v>138</v>
      </c>
      <c r="C67" s="28">
        <f>120+10.859</f>
        <v>130.859</v>
      </c>
      <c r="D67" s="28"/>
      <c r="E67" s="28"/>
      <c r="F67" s="23"/>
      <c r="G67" s="28"/>
      <c r="H67" s="28"/>
      <c r="I67" s="28"/>
      <c r="J67" s="28"/>
      <c r="K67" s="28"/>
      <c r="L67" s="28"/>
      <c r="M67" s="28">
        <f>F67+C67</f>
        <v>130.859</v>
      </c>
      <c r="N67" s="25"/>
    </row>
    <row r="68" spans="1:14" ht="256.5" customHeight="1">
      <c r="A68" s="46"/>
      <c r="B68" s="44" t="s">
        <v>139</v>
      </c>
      <c r="C68" s="28"/>
      <c r="D68" s="28"/>
      <c r="E68" s="28"/>
      <c r="F68" s="23"/>
      <c r="G68" s="28"/>
      <c r="H68" s="28"/>
      <c r="I68" s="28"/>
      <c r="J68" s="28"/>
      <c r="K68" s="28"/>
      <c r="L68" s="28"/>
      <c r="M68" s="28"/>
      <c r="N68" s="25"/>
    </row>
    <row r="69" spans="1:14" ht="226.5" customHeight="1">
      <c r="A69" s="46" t="s">
        <v>72</v>
      </c>
      <c r="B69" s="78" t="s">
        <v>177</v>
      </c>
      <c r="C69" s="28">
        <f>1.87+0.03</f>
        <v>1.9000000000000001</v>
      </c>
      <c r="D69" s="28"/>
      <c r="E69" s="28"/>
      <c r="F69" s="23"/>
      <c r="G69" s="28"/>
      <c r="H69" s="28"/>
      <c r="I69" s="28"/>
      <c r="J69" s="28"/>
      <c r="K69" s="28"/>
      <c r="L69" s="28"/>
      <c r="M69" s="28">
        <f>SUM(C69,F69)</f>
        <v>1.9000000000000001</v>
      </c>
      <c r="N69" s="25"/>
    </row>
    <row r="70" spans="1:14" ht="87" customHeight="1">
      <c r="A70" s="46"/>
      <c r="B70" s="32" t="s">
        <v>178</v>
      </c>
      <c r="C70" s="28"/>
      <c r="D70" s="28"/>
      <c r="E70" s="28"/>
      <c r="F70" s="23"/>
      <c r="G70" s="28"/>
      <c r="H70" s="28"/>
      <c r="I70" s="28"/>
      <c r="J70" s="28"/>
      <c r="K70" s="28"/>
      <c r="L70" s="28"/>
      <c r="M70" s="28"/>
      <c r="N70" s="25"/>
    </row>
    <row r="71" spans="1:14" ht="102" customHeight="1">
      <c r="A71" s="46" t="s">
        <v>73</v>
      </c>
      <c r="B71" s="19" t="s">
        <v>117</v>
      </c>
      <c r="C71" s="28">
        <f>48+5.875</f>
        <v>53.875</v>
      </c>
      <c r="D71" s="28"/>
      <c r="E71" s="28"/>
      <c r="F71" s="23"/>
      <c r="G71" s="28"/>
      <c r="H71" s="28"/>
      <c r="I71" s="28"/>
      <c r="J71" s="28"/>
      <c r="K71" s="28"/>
      <c r="L71" s="28"/>
      <c r="M71" s="28">
        <f aca="true" t="shared" si="5" ref="M71:M108">SUM(C71,F71)</f>
        <v>53.875</v>
      </c>
      <c r="N71" s="25"/>
    </row>
    <row r="72" spans="1:14" ht="97.5" customHeight="1">
      <c r="A72" s="46" t="s">
        <v>74</v>
      </c>
      <c r="B72" s="19" t="s">
        <v>118</v>
      </c>
      <c r="C72" s="28">
        <f>1.496+0.879</f>
        <v>2.375</v>
      </c>
      <c r="D72" s="28"/>
      <c r="E72" s="28"/>
      <c r="F72" s="23"/>
      <c r="G72" s="28"/>
      <c r="H72" s="28"/>
      <c r="I72" s="28"/>
      <c r="J72" s="28"/>
      <c r="K72" s="28"/>
      <c r="L72" s="28"/>
      <c r="M72" s="28">
        <f t="shared" si="5"/>
        <v>2.375</v>
      </c>
      <c r="N72" s="25"/>
    </row>
    <row r="73" spans="1:14" ht="80.25" customHeight="1">
      <c r="A73" s="46" t="s">
        <v>75</v>
      </c>
      <c r="B73" s="19" t="s">
        <v>119</v>
      </c>
      <c r="C73" s="28">
        <v>1.5</v>
      </c>
      <c r="D73" s="28"/>
      <c r="E73" s="28"/>
      <c r="F73" s="23"/>
      <c r="G73" s="28"/>
      <c r="H73" s="28"/>
      <c r="I73" s="28"/>
      <c r="J73" s="28"/>
      <c r="K73" s="28"/>
      <c r="L73" s="28"/>
      <c r="M73" s="28">
        <f t="shared" si="5"/>
        <v>1.5</v>
      </c>
      <c r="N73" s="25"/>
    </row>
    <row r="74" spans="1:14" ht="176.25" customHeight="1">
      <c r="A74" s="46" t="s">
        <v>76</v>
      </c>
      <c r="B74" s="19" t="s">
        <v>126</v>
      </c>
      <c r="C74" s="28">
        <f>320+35.236</f>
        <v>355.236</v>
      </c>
      <c r="D74" s="28"/>
      <c r="E74" s="28"/>
      <c r="F74" s="23"/>
      <c r="G74" s="28"/>
      <c r="H74" s="28"/>
      <c r="I74" s="28"/>
      <c r="J74" s="28"/>
      <c r="K74" s="28"/>
      <c r="L74" s="28"/>
      <c r="M74" s="28">
        <f t="shared" si="5"/>
        <v>355.236</v>
      </c>
      <c r="N74" s="25"/>
    </row>
    <row r="75" spans="1:14" ht="180.75" customHeight="1">
      <c r="A75" s="46" t="s">
        <v>77</v>
      </c>
      <c r="B75" s="19" t="s">
        <v>127</v>
      </c>
      <c r="C75" s="28">
        <f>48+0.491</f>
        <v>48.491</v>
      </c>
      <c r="D75" s="28"/>
      <c r="E75" s="28"/>
      <c r="F75" s="23"/>
      <c r="G75" s="28"/>
      <c r="H75" s="28"/>
      <c r="I75" s="28"/>
      <c r="J75" s="28"/>
      <c r="K75" s="28"/>
      <c r="L75" s="28"/>
      <c r="M75" s="28">
        <f t="shared" si="5"/>
        <v>48.491</v>
      </c>
      <c r="N75" s="25"/>
    </row>
    <row r="76" spans="1:14" ht="48" customHeight="1">
      <c r="A76" s="46" t="s">
        <v>78</v>
      </c>
      <c r="B76" s="19" t="s">
        <v>103</v>
      </c>
      <c r="C76" s="28">
        <v>54.4</v>
      </c>
      <c r="D76" s="28"/>
      <c r="E76" s="28"/>
      <c r="F76" s="23"/>
      <c r="G76" s="28"/>
      <c r="H76" s="28"/>
      <c r="I76" s="28"/>
      <c r="J76" s="28"/>
      <c r="K76" s="28"/>
      <c r="L76" s="28"/>
      <c r="M76" s="28">
        <f t="shared" si="5"/>
        <v>54.4</v>
      </c>
      <c r="N76" s="25"/>
    </row>
    <row r="77" spans="1:14" ht="33" customHeight="1">
      <c r="A77" s="46" t="s">
        <v>79</v>
      </c>
      <c r="B77" s="19" t="s">
        <v>104</v>
      </c>
      <c r="C77" s="28">
        <f>113.8-6.9</f>
        <v>106.89999999999999</v>
      </c>
      <c r="D77" s="28"/>
      <c r="E77" s="28"/>
      <c r="F77" s="28"/>
      <c r="G77" s="28"/>
      <c r="H77" s="28"/>
      <c r="I77" s="28"/>
      <c r="J77" s="28"/>
      <c r="K77" s="28"/>
      <c r="L77" s="28"/>
      <c r="M77" s="28">
        <f t="shared" si="5"/>
        <v>106.89999999999999</v>
      </c>
      <c r="N77" s="25"/>
    </row>
    <row r="78" spans="1:14" ht="33" customHeight="1">
      <c r="A78" s="46" t="s">
        <v>141</v>
      </c>
      <c r="B78" s="19" t="s">
        <v>134</v>
      </c>
      <c r="C78" s="28">
        <f>420+68.506</f>
        <v>488.506</v>
      </c>
      <c r="D78" s="28"/>
      <c r="E78" s="28"/>
      <c r="F78" s="28"/>
      <c r="G78" s="28"/>
      <c r="H78" s="28"/>
      <c r="I78" s="28"/>
      <c r="J78" s="28"/>
      <c r="K78" s="28"/>
      <c r="L78" s="28"/>
      <c r="M78" s="28">
        <f t="shared" si="5"/>
        <v>488.506</v>
      </c>
      <c r="N78" s="25"/>
    </row>
    <row r="79" spans="1:14" ht="50.25" customHeight="1">
      <c r="A79" s="46" t="s">
        <v>142</v>
      </c>
      <c r="B79" s="19" t="s">
        <v>148</v>
      </c>
      <c r="C79" s="28">
        <v>70.4</v>
      </c>
      <c r="D79" s="28"/>
      <c r="E79" s="28"/>
      <c r="F79" s="28"/>
      <c r="G79" s="28"/>
      <c r="H79" s="28"/>
      <c r="I79" s="28"/>
      <c r="J79" s="28"/>
      <c r="K79" s="28"/>
      <c r="L79" s="28"/>
      <c r="M79" s="28">
        <f t="shared" si="5"/>
        <v>70.4</v>
      </c>
      <c r="N79" s="25"/>
    </row>
    <row r="80" spans="1:14" ht="36.75" customHeight="1">
      <c r="A80" s="46" t="s">
        <v>80</v>
      </c>
      <c r="B80" s="19" t="s">
        <v>105</v>
      </c>
      <c r="C80" s="28">
        <f>413.3+16.722</f>
        <v>430.022</v>
      </c>
      <c r="D80" s="28"/>
      <c r="E80" s="28"/>
      <c r="F80" s="28"/>
      <c r="G80" s="28"/>
      <c r="H80" s="28"/>
      <c r="I80" s="28"/>
      <c r="J80" s="28"/>
      <c r="K80" s="28"/>
      <c r="L80" s="28"/>
      <c r="M80" s="28">
        <f t="shared" si="5"/>
        <v>430.022</v>
      </c>
      <c r="N80" s="25"/>
    </row>
    <row r="81" spans="1:14" ht="30.75" customHeight="1">
      <c r="A81" s="46" t="s">
        <v>81</v>
      </c>
      <c r="B81" s="19" t="s">
        <v>106</v>
      </c>
      <c r="C81" s="28">
        <f>7537.8-500-250+513</f>
        <v>7300.8</v>
      </c>
      <c r="D81" s="28"/>
      <c r="E81" s="28"/>
      <c r="F81" s="28"/>
      <c r="G81" s="28"/>
      <c r="H81" s="28"/>
      <c r="I81" s="28"/>
      <c r="J81" s="28"/>
      <c r="K81" s="28"/>
      <c r="L81" s="28"/>
      <c r="M81" s="28">
        <f t="shared" si="5"/>
        <v>7300.8</v>
      </c>
      <c r="N81" s="25"/>
    </row>
    <row r="82" spans="1:14" ht="32.25" customHeight="1">
      <c r="A82" s="46" t="s">
        <v>82</v>
      </c>
      <c r="B82" s="19" t="s">
        <v>149</v>
      </c>
      <c r="C82" s="28">
        <f>15716.7-1300-450+957.916</f>
        <v>14924.616</v>
      </c>
      <c r="D82" s="28"/>
      <c r="E82" s="28"/>
      <c r="F82" s="28"/>
      <c r="G82" s="28"/>
      <c r="H82" s="28"/>
      <c r="I82" s="28"/>
      <c r="J82" s="28"/>
      <c r="K82" s="28"/>
      <c r="L82" s="28"/>
      <c r="M82" s="28">
        <f t="shared" si="5"/>
        <v>14924.616</v>
      </c>
      <c r="N82" s="25"/>
    </row>
    <row r="83" spans="1:14" ht="33" customHeight="1">
      <c r="A83" s="46" t="s">
        <v>83</v>
      </c>
      <c r="B83" s="32" t="s">
        <v>128</v>
      </c>
      <c r="C83" s="28">
        <f>209+1800+150+240.916</f>
        <v>2399.916</v>
      </c>
      <c r="D83" s="28"/>
      <c r="E83" s="28"/>
      <c r="F83" s="28"/>
      <c r="G83" s="28"/>
      <c r="H83" s="28"/>
      <c r="I83" s="28"/>
      <c r="J83" s="28"/>
      <c r="K83" s="28"/>
      <c r="L83" s="28"/>
      <c r="M83" s="28">
        <f t="shared" si="5"/>
        <v>2399.916</v>
      </c>
      <c r="N83" s="25"/>
    </row>
    <row r="84" spans="1:14" ht="30.75" customHeight="1">
      <c r="A84" s="46" t="s">
        <v>84</v>
      </c>
      <c r="B84" s="19" t="s">
        <v>107</v>
      </c>
      <c r="C84" s="28">
        <f>4964.1-30+485.798</f>
        <v>5419.898</v>
      </c>
      <c r="D84" s="28"/>
      <c r="E84" s="28"/>
      <c r="F84" s="28"/>
      <c r="G84" s="28"/>
      <c r="H84" s="28"/>
      <c r="I84" s="28"/>
      <c r="J84" s="28"/>
      <c r="K84" s="28"/>
      <c r="L84" s="28"/>
      <c r="M84" s="28">
        <f t="shared" si="5"/>
        <v>5419.898</v>
      </c>
      <c r="N84" s="25"/>
    </row>
    <row r="85" spans="1:14" ht="30" customHeight="1">
      <c r="A85" s="46" t="s">
        <v>85</v>
      </c>
      <c r="B85" s="19" t="s">
        <v>108</v>
      </c>
      <c r="C85" s="28">
        <f>580.4+61.728</f>
        <v>642.1279999999999</v>
      </c>
      <c r="D85" s="28"/>
      <c r="E85" s="28"/>
      <c r="F85" s="28"/>
      <c r="G85" s="28"/>
      <c r="H85" s="28"/>
      <c r="I85" s="28"/>
      <c r="J85" s="28"/>
      <c r="K85" s="28"/>
      <c r="L85" s="28"/>
      <c r="M85" s="28">
        <f t="shared" si="5"/>
        <v>642.1279999999999</v>
      </c>
      <c r="N85" s="25"/>
    </row>
    <row r="86" spans="1:14" ht="30" customHeight="1">
      <c r="A86" s="46" t="s">
        <v>132</v>
      </c>
      <c r="B86" s="19" t="s">
        <v>133</v>
      </c>
      <c r="C86" s="28">
        <f>50.6-30.132</f>
        <v>20.468</v>
      </c>
      <c r="D86" s="28"/>
      <c r="E86" s="28"/>
      <c r="F86" s="28"/>
      <c r="G86" s="28"/>
      <c r="H86" s="28"/>
      <c r="I86" s="28"/>
      <c r="J86" s="28"/>
      <c r="K86" s="28"/>
      <c r="L86" s="28"/>
      <c r="M86" s="28">
        <f t="shared" si="5"/>
        <v>20.468</v>
      </c>
      <c r="N86" s="25"/>
    </row>
    <row r="87" spans="1:14" ht="30.75" customHeight="1">
      <c r="A87" s="46" t="s">
        <v>86</v>
      </c>
      <c r="B87" s="19" t="s">
        <v>109</v>
      </c>
      <c r="C87" s="28">
        <f>2129.7+1161+150+816.618</f>
        <v>4257.318</v>
      </c>
      <c r="D87" s="28"/>
      <c r="E87" s="28"/>
      <c r="F87" s="28"/>
      <c r="G87" s="28"/>
      <c r="H87" s="28"/>
      <c r="I87" s="28"/>
      <c r="J87" s="28"/>
      <c r="K87" s="28"/>
      <c r="L87" s="28"/>
      <c r="M87" s="28">
        <f t="shared" si="5"/>
        <v>4257.318</v>
      </c>
      <c r="N87" s="25"/>
    </row>
    <row r="88" spans="1:14" ht="47.25" customHeight="1">
      <c r="A88" s="46" t="s">
        <v>87</v>
      </c>
      <c r="B88" s="19" t="s">
        <v>135</v>
      </c>
      <c r="C88" s="28">
        <v>533.2</v>
      </c>
      <c r="D88" s="28"/>
      <c r="E88" s="28"/>
      <c r="F88" s="23"/>
      <c r="G88" s="28"/>
      <c r="H88" s="28"/>
      <c r="I88" s="28"/>
      <c r="J88" s="28"/>
      <c r="K88" s="28"/>
      <c r="L88" s="28"/>
      <c r="M88" s="28">
        <f t="shared" si="5"/>
        <v>533.2</v>
      </c>
      <c r="N88" s="25"/>
    </row>
    <row r="89" spans="1:14" ht="66.75" customHeight="1">
      <c r="A89" s="46" t="s">
        <v>125</v>
      </c>
      <c r="B89" s="19" t="s">
        <v>136</v>
      </c>
      <c r="C89" s="28">
        <f>211.5+40.5</f>
        <v>252</v>
      </c>
      <c r="D89" s="28"/>
      <c r="E89" s="28"/>
      <c r="F89" s="28"/>
      <c r="G89" s="28"/>
      <c r="H89" s="28"/>
      <c r="I89" s="28"/>
      <c r="J89" s="28"/>
      <c r="K89" s="28"/>
      <c r="L89" s="28"/>
      <c r="M89" s="28">
        <f t="shared" si="5"/>
        <v>252</v>
      </c>
      <c r="N89" s="25"/>
    </row>
    <row r="90" spans="1:14" ht="21" customHeight="1">
      <c r="A90" s="46" t="s">
        <v>88</v>
      </c>
      <c r="B90" s="19" t="s">
        <v>89</v>
      </c>
      <c r="C90" s="28">
        <f>11.8+45+2.4+6+1.7</f>
        <v>66.89999999999999</v>
      </c>
      <c r="D90" s="28"/>
      <c r="E90" s="28"/>
      <c r="F90" s="28"/>
      <c r="G90" s="28"/>
      <c r="H90" s="28"/>
      <c r="I90" s="28"/>
      <c r="J90" s="28"/>
      <c r="K90" s="28"/>
      <c r="L90" s="28"/>
      <c r="M90" s="28">
        <f>SUM(C90,F90)</f>
        <v>66.89999999999999</v>
      </c>
      <c r="N90" s="25"/>
    </row>
    <row r="91" spans="1:14" ht="21" customHeight="1">
      <c r="A91" s="46" t="s">
        <v>129</v>
      </c>
      <c r="B91" s="38" t="s">
        <v>130</v>
      </c>
      <c r="C91" s="28">
        <f>36.6+14.4+2.4+1+3-3+8.6</f>
        <v>63</v>
      </c>
      <c r="D91" s="28"/>
      <c r="E91" s="28"/>
      <c r="F91" s="28"/>
      <c r="G91" s="28"/>
      <c r="H91" s="28"/>
      <c r="I91" s="28"/>
      <c r="J91" s="28"/>
      <c r="K91" s="28"/>
      <c r="L91" s="28"/>
      <c r="M91" s="28">
        <f t="shared" si="5"/>
        <v>63</v>
      </c>
      <c r="N91" s="25"/>
    </row>
    <row r="92" spans="1:14" ht="30.75" customHeight="1">
      <c r="A92" s="46" t="s">
        <v>90</v>
      </c>
      <c r="B92" s="10" t="s">
        <v>140</v>
      </c>
      <c r="C92" s="28">
        <f>15.8-1</f>
        <v>14.8</v>
      </c>
      <c r="D92" s="28"/>
      <c r="E92" s="28"/>
      <c r="F92" s="28"/>
      <c r="G92" s="28"/>
      <c r="H92" s="28"/>
      <c r="I92" s="28"/>
      <c r="J92" s="28"/>
      <c r="K92" s="28"/>
      <c r="L92" s="28"/>
      <c r="M92" s="28">
        <f t="shared" si="5"/>
        <v>14.8</v>
      </c>
      <c r="N92" s="25"/>
    </row>
    <row r="93" spans="1:14" ht="33" customHeight="1">
      <c r="A93" s="46" t="s">
        <v>91</v>
      </c>
      <c r="B93" s="19" t="s">
        <v>209</v>
      </c>
      <c r="C93" s="28">
        <f>C95+C96</f>
        <v>176.60000000000002</v>
      </c>
      <c r="D93" s="28"/>
      <c r="E93" s="28"/>
      <c r="F93" s="28"/>
      <c r="G93" s="28"/>
      <c r="H93" s="28"/>
      <c r="I93" s="28"/>
      <c r="J93" s="28"/>
      <c r="K93" s="28"/>
      <c r="L93" s="28"/>
      <c r="M93" s="28">
        <f t="shared" si="5"/>
        <v>176.60000000000002</v>
      </c>
      <c r="N93" s="25"/>
    </row>
    <row r="94" spans="1:14" ht="18" customHeight="1">
      <c r="A94" s="46"/>
      <c r="B94" s="19" t="s">
        <v>195</v>
      </c>
      <c r="C94" s="28"/>
      <c r="D94" s="28"/>
      <c r="E94" s="28"/>
      <c r="F94" s="28"/>
      <c r="G94" s="28"/>
      <c r="H94" s="28"/>
      <c r="I94" s="28"/>
      <c r="J94" s="28"/>
      <c r="K94" s="28"/>
      <c r="L94" s="28"/>
      <c r="M94" s="28"/>
      <c r="N94" s="25"/>
    </row>
    <row r="95" spans="1:14" ht="18.75" customHeight="1">
      <c r="A95" s="46"/>
      <c r="B95" s="19" t="s">
        <v>210</v>
      </c>
      <c r="C95" s="28">
        <v>13</v>
      </c>
      <c r="D95" s="28"/>
      <c r="E95" s="28"/>
      <c r="F95" s="28"/>
      <c r="G95" s="28"/>
      <c r="H95" s="28"/>
      <c r="I95" s="28"/>
      <c r="J95" s="28"/>
      <c r="K95" s="28"/>
      <c r="L95" s="28"/>
      <c r="M95" s="28">
        <f t="shared" si="5"/>
        <v>13</v>
      </c>
      <c r="N95" s="25"/>
    </row>
    <row r="96" spans="1:14" ht="17.25" customHeight="1">
      <c r="A96" s="46"/>
      <c r="B96" s="19" t="s">
        <v>221</v>
      </c>
      <c r="C96" s="28">
        <f>60.7+102.9</f>
        <v>163.60000000000002</v>
      </c>
      <c r="D96" s="28"/>
      <c r="E96" s="28"/>
      <c r="F96" s="28"/>
      <c r="G96" s="28"/>
      <c r="H96" s="28"/>
      <c r="I96" s="28"/>
      <c r="J96" s="28"/>
      <c r="K96" s="28"/>
      <c r="L96" s="28"/>
      <c r="M96" s="28">
        <f t="shared" si="5"/>
        <v>163.60000000000002</v>
      </c>
      <c r="N96" s="25"/>
    </row>
    <row r="97" spans="1:14" ht="38.25" customHeight="1">
      <c r="A97" s="46" t="s">
        <v>92</v>
      </c>
      <c r="B97" s="19" t="s">
        <v>174</v>
      </c>
      <c r="C97" s="28">
        <f>2805.2+24-141.9+4.6+0.637+6.5-62.5+70.382</f>
        <v>2706.919</v>
      </c>
      <c r="D97" s="28">
        <f>1890.1+17.6-105.1+3.4+4.7-79.291+63.39</f>
        <v>1794.7990000000002</v>
      </c>
      <c r="E97" s="28">
        <f>105.545+14.6-9</f>
        <v>111.145</v>
      </c>
      <c r="F97" s="28">
        <f>G97+J97</f>
        <v>130.5</v>
      </c>
      <c r="G97" s="28">
        <v>125</v>
      </c>
      <c r="H97" s="28">
        <v>7</v>
      </c>
      <c r="I97" s="28"/>
      <c r="J97" s="28">
        <v>5.5</v>
      </c>
      <c r="K97" s="28">
        <v>5.5</v>
      </c>
      <c r="L97" s="28">
        <v>5.5</v>
      </c>
      <c r="M97" s="28">
        <f t="shared" si="5"/>
        <v>2837.419</v>
      </c>
      <c r="N97" s="25"/>
    </row>
    <row r="98" spans="1:14" ht="75.75" customHeight="1">
      <c r="A98" s="46" t="s">
        <v>162</v>
      </c>
      <c r="B98" s="19" t="s">
        <v>163</v>
      </c>
      <c r="C98" s="28">
        <f>92.8+46.7</f>
        <v>139.5</v>
      </c>
      <c r="D98" s="28"/>
      <c r="E98" s="28"/>
      <c r="F98" s="28"/>
      <c r="G98" s="28"/>
      <c r="H98" s="28"/>
      <c r="I98" s="28"/>
      <c r="J98" s="28"/>
      <c r="K98" s="28"/>
      <c r="L98" s="28"/>
      <c r="M98" s="28">
        <f t="shared" si="5"/>
        <v>139.5</v>
      </c>
      <c r="N98" s="25"/>
    </row>
    <row r="99" spans="1:14" ht="36" customHeight="1">
      <c r="A99" s="46" t="s">
        <v>180</v>
      </c>
      <c r="B99" s="19" t="s">
        <v>181</v>
      </c>
      <c r="C99" s="63">
        <f>281.918+0.4-9</f>
        <v>273.318</v>
      </c>
      <c r="D99" s="63">
        <f>155.499+0.3-6.6</f>
        <v>149.199</v>
      </c>
      <c r="E99" s="63">
        <v>17.6</v>
      </c>
      <c r="F99" s="28">
        <f>G99+J99</f>
        <v>9</v>
      </c>
      <c r="G99" s="28"/>
      <c r="H99" s="28"/>
      <c r="I99" s="28"/>
      <c r="J99" s="28">
        <v>9</v>
      </c>
      <c r="K99" s="28">
        <v>9</v>
      </c>
      <c r="L99" s="28">
        <v>9</v>
      </c>
      <c r="M99" s="28">
        <f t="shared" si="5"/>
        <v>282.318</v>
      </c>
      <c r="N99" s="25"/>
    </row>
    <row r="100" spans="1:14" ht="80.25" customHeight="1">
      <c r="A100" s="46" t="s">
        <v>160</v>
      </c>
      <c r="B100" s="19" t="s">
        <v>179</v>
      </c>
      <c r="C100" s="28">
        <v>3</v>
      </c>
      <c r="D100" s="28"/>
      <c r="E100" s="28"/>
      <c r="F100" s="28"/>
      <c r="G100" s="28"/>
      <c r="H100" s="28"/>
      <c r="I100" s="28"/>
      <c r="J100" s="28"/>
      <c r="K100" s="28"/>
      <c r="L100" s="28"/>
      <c r="M100" s="28">
        <f t="shared" si="5"/>
        <v>3</v>
      </c>
      <c r="N100" s="25"/>
    </row>
    <row r="101" spans="1:14" ht="30" customHeight="1">
      <c r="A101" s="46" t="s">
        <v>100</v>
      </c>
      <c r="B101" s="19" t="s">
        <v>161</v>
      </c>
      <c r="C101" s="28">
        <v>38.8</v>
      </c>
      <c r="D101" s="28"/>
      <c r="E101" s="28"/>
      <c r="F101" s="28"/>
      <c r="G101" s="28"/>
      <c r="H101" s="28"/>
      <c r="I101" s="28"/>
      <c r="J101" s="28"/>
      <c r="K101" s="28"/>
      <c r="L101" s="28"/>
      <c r="M101" s="28">
        <f t="shared" si="5"/>
        <v>38.8</v>
      </c>
      <c r="N101" s="25"/>
    </row>
    <row r="102" spans="1:14" ht="53.25" customHeight="1">
      <c r="A102" s="46" t="s">
        <v>93</v>
      </c>
      <c r="B102" s="19" t="s">
        <v>110</v>
      </c>
      <c r="C102" s="28">
        <f>4759.3+460.132+67.202</f>
        <v>5286.634</v>
      </c>
      <c r="D102" s="28"/>
      <c r="E102" s="28"/>
      <c r="F102" s="28"/>
      <c r="G102" s="28"/>
      <c r="H102" s="28"/>
      <c r="I102" s="28"/>
      <c r="J102" s="28"/>
      <c r="K102" s="28"/>
      <c r="L102" s="28"/>
      <c r="M102" s="28">
        <f t="shared" si="5"/>
        <v>5286.634</v>
      </c>
      <c r="N102" s="25"/>
    </row>
    <row r="103" spans="1:14" ht="50.25" customHeight="1" hidden="1">
      <c r="A103" s="46"/>
      <c r="B103" s="19"/>
      <c r="C103" s="28"/>
      <c r="D103" s="28"/>
      <c r="E103" s="28"/>
      <c r="F103" s="28"/>
      <c r="G103" s="28"/>
      <c r="H103" s="28"/>
      <c r="I103" s="28"/>
      <c r="J103" s="28"/>
      <c r="K103" s="28"/>
      <c r="L103" s="28"/>
      <c r="M103" s="28">
        <f t="shared" si="5"/>
        <v>0</v>
      </c>
      <c r="N103" s="25"/>
    </row>
    <row r="104" spans="1:14" ht="50.25" customHeight="1">
      <c r="A104" s="46" t="s">
        <v>123</v>
      </c>
      <c r="B104" s="32" t="s">
        <v>124</v>
      </c>
      <c r="C104" s="28">
        <f>9.7-0.136</f>
        <v>9.564</v>
      </c>
      <c r="D104" s="28"/>
      <c r="E104" s="28"/>
      <c r="F104" s="28"/>
      <c r="G104" s="28"/>
      <c r="H104" s="28"/>
      <c r="I104" s="28"/>
      <c r="J104" s="28"/>
      <c r="K104" s="28"/>
      <c r="L104" s="28"/>
      <c r="M104" s="28">
        <f t="shared" si="5"/>
        <v>9.564</v>
      </c>
      <c r="N104" s="25"/>
    </row>
    <row r="105" spans="1:14" ht="33" customHeight="1">
      <c r="A105" s="46" t="s">
        <v>94</v>
      </c>
      <c r="B105" s="19" t="s">
        <v>111</v>
      </c>
      <c r="C105" s="28">
        <f>0.2+0.136</f>
        <v>0.336</v>
      </c>
      <c r="D105" s="28"/>
      <c r="E105" s="28"/>
      <c r="F105" s="28"/>
      <c r="G105" s="28"/>
      <c r="H105" s="28"/>
      <c r="I105" s="28"/>
      <c r="J105" s="28"/>
      <c r="K105" s="28"/>
      <c r="L105" s="28"/>
      <c r="M105" s="28">
        <f t="shared" si="5"/>
        <v>0.336</v>
      </c>
      <c r="N105" s="25"/>
    </row>
    <row r="106" spans="1:14" ht="48.75" customHeight="1">
      <c r="A106" s="46" t="s">
        <v>95</v>
      </c>
      <c r="B106" s="19" t="s">
        <v>112</v>
      </c>
      <c r="C106" s="28">
        <f>54+1</f>
        <v>55</v>
      </c>
      <c r="D106" s="28"/>
      <c r="E106" s="28"/>
      <c r="F106" s="28"/>
      <c r="G106" s="28"/>
      <c r="H106" s="28"/>
      <c r="I106" s="28"/>
      <c r="J106" s="28"/>
      <c r="K106" s="28"/>
      <c r="L106" s="28"/>
      <c r="M106" s="28">
        <f t="shared" si="5"/>
        <v>55</v>
      </c>
      <c r="N106" s="25"/>
    </row>
    <row r="107" spans="1:14" ht="51" customHeight="1">
      <c r="A107" s="46" t="s">
        <v>96</v>
      </c>
      <c r="B107" s="19" t="s">
        <v>113</v>
      </c>
      <c r="C107" s="28">
        <f>137.9-0.5-33.9</f>
        <v>103.5</v>
      </c>
      <c r="D107" s="28"/>
      <c r="E107" s="28"/>
      <c r="F107" s="28"/>
      <c r="G107" s="28"/>
      <c r="H107" s="28"/>
      <c r="I107" s="28"/>
      <c r="J107" s="28"/>
      <c r="K107" s="28"/>
      <c r="L107" s="28"/>
      <c r="M107" s="28">
        <f t="shared" si="5"/>
        <v>103.5</v>
      </c>
      <c r="N107" s="25"/>
    </row>
    <row r="108" spans="1:14" ht="30.75" customHeight="1">
      <c r="A108" s="46" t="s">
        <v>97</v>
      </c>
      <c r="B108" s="19" t="s">
        <v>114</v>
      </c>
      <c r="C108" s="28">
        <f>245+11.7-5.555</f>
        <v>251.14499999999998</v>
      </c>
      <c r="D108" s="28"/>
      <c r="E108" s="28"/>
      <c r="F108" s="28"/>
      <c r="G108" s="28"/>
      <c r="H108" s="28"/>
      <c r="I108" s="28"/>
      <c r="J108" s="28"/>
      <c r="K108" s="28"/>
      <c r="L108" s="28"/>
      <c r="M108" s="28">
        <f t="shared" si="5"/>
        <v>251.14499999999998</v>
      </c>
      <c r="N108" s="25"/>
    </row>
    <row r="109" spans="1:14" s="21" customFormat="1" ht="24.75" customHeight="1">
      <c r="A109" s="45"/>
      <c r="B109" s="9" t="s">
        <v>11</v>
      </c>
      <c r="C109" s="31">
        <f>C108+C63+C107+C106</f>
        <v>49462.382</v>
      </c>
      <c r="D109" s="31">
        <f>D108+D63+D107+D106</f>
        <v>1943.9980000000003</v>
      </c>
      <c r="E109" s="31">
        <f>E108+E63+E107+E106+E99</f>
        <v>128.745</v>
      </c>
      <c r="F109" s="31">
        <f aca="true" t="shared" si="6" ref="F109:L109">F108+F63</f>
        <v>131.9</v>
      </c>
      <c r="G109" s="31">
        <f>G108+G63</f>
        <v>125</v>
      </c>
      <c r="H109" s="31">
        <f t="shared" si="6"/>
        <v>7</v>
      </c>
      <c r="I109" s="31">
        <f t="shared" si="6"/>
        <v>0</v>
      </c>
      <c r="J109" s="31">
        <f>J108+J63</f>
        <v>15.9</v>
      </c>
      <c r="K109" s="31">
        <f t="shared" si="6"/>
        <v>15.9</v>
      </c>
      <c r="L109" s="31">
        <f t="shared" si="6"/>
        <v>15.9</v>
      </c>
      <c r="M109" s="62">
        <f>SUM(M64:M108)</f>
        <v>49779.882</v>
      </c>
      <c r="N109" s="23"/>
    </row>
    <row r="110" spans="1:14" s="21" customFormat="1" ht="15.75">
      <c r="A110" s="47"/>
      <c r="B110" s="20"/>
      <c r="C110" s="28"/>
      <c r="D110" s="28"/>
      <c r="E110" s="28"/>
      <c r="F110" s="28"/>
      <c r="G110" s="28"/>
      <c r="H110" s="28"/>
      <c r="I110" s="28"/>
      <c r="J110" s="28"/>
      <c r="K110" s="28"/>
      <c r="L110" s="28"/>
      <c r="M110" s="28"/>
      <c r="N110" s="66"/>
    </row>
    <row r="111" spans="1:14" ht="15.75">
      <c r="A111" s="45" t="s">
        <v>190</v>
      </c>
      <c r="B111" s="12" t="s">
        <v>0</v>
      </c>
      <c r="C111" s="28"/>
      <c r="D111" s="28"/>
      <c r="E111" s="28"/>
      <c r="F111" s="28"/>
      <c r="G111" s="28"/>
      <c r="H111" s="28"/>
      <c r="I111" s="28"/>
      <c r="J111" s="28"/>
      <c r="K111" s="28"/>
      <c r="L111" s="28"/>
      <c r="M111" s="28"/>
      <c r="N111" s="25"/>
    </row>
    <row r="112" spans="1:14" ht="15.75">
      <c r="A112" s="52" t="s">
        <v>14</v>
      </c>
      <c r="B112" s="9" t="s">
        <v>13</v>
      </c>
      <c r="C112" s="31">
        <f>C117+C118+C113+C114+C115+C116</f>
        <v>3789.5952800000005</v>
      </c>
      <c r="D112" s="31">
        <f>D117+D118+D113+D114+D115+D116</f>
        <v>2446.665</v>
      </c>
      <c r="E112" s="31">
        <f>E117+E118+E113+E114+E115+E116</f>
        <v>280.375</v>
      </c>
      <c r="F112" s="31">
        <f aca="true" t="shared" si="7" ref="F112:M112">F117+F118+F113+F114+F115+F116</f>
        <v>55.95</v>
      </c>
      <c r="G112" s="31">
        <f t="shared" si="7"/>
        <v>48.900000000000006</v>
      </c>
      <c r="H112" s="31">
        <f t="shared" si="7"/>
        <v>25.2</v>
      </c>
      <c r="I112" s="31">
        <f t="shared" si="7"/>
        <v>1.1</v>
      </c>
      <c r="J112" s="31">
        <f>J117+J118+J113+J114+J115+J116</f>
        <v>7.05</v>
      </c>
      <c r="K112" s="31">
        <f>K117+K118+K113+K114+K115+K116</f>
        <v>3.55</v>
      </c>
      <c r="L112" s="31">
        <f>L117+L118+L113+L114+L115+L116</f>
        <v>3.55</v>
      </c>
      <c r="M112" s="31">
        <f t="shared" si="7"/>
        <v>3845.5452800000003</v>
      </c>
      <c r="N112" s="25"/>
    </row>
    <row r="113" spans="1:14" ht="15.75">
      <c r="A113" s="45" t="s">
        <v>22</v>
      </c>
      <c r="B113" s="10" t="s">
        <v>15</v>
      </c>
      <c r="C113" s="28">
        <f>1700.255+6.076+0.35-11.85</f>
        <v>1694.8310000000001</v>
      </c>
      <c r="D113" s="63">
        <f>1176.89+0.25-26.5</f>
        <v>1150.64</v>
      </c>
      <c r="E113" s="28">
        <f>90.205-6</f>
        <v>84.205</v>
      </c>
      <c r="F113" s="28">
        <f>G113+J113</f>
        <v>6.05</v>
      </c>
      <c r="G113" s="28">
        <v>2</v>
      </c>
      <c r="H113" s="28"/>
      <c r="I113" s="28"/>
      <c r="J113" s="28">
        <f>0.5+3.55</f>
        <v>4.05</v>
      </c>
      <c r="K113" s="23">
        <v>3.55</v>
      </c>
      <c r="L113" s="28">
        <v>3.55</v>
      </c>
      <c r="M113" s="28">
        <f aca="true" t="shared" si="8" ref="M113:M118">SUM(C113,F113)</f>
        <v>1700.881</v>
      </c>
      <c r="N113" s="25"/>
    </row>
    <row r="114" spans="1:14" ht="15.75">
      <c r="A114" s="45" t="s">
        <v>23</v>
      </c>
      <c r="B114" s="10" t="s">
        <v>16</v>
      </c>
      <c r="C114" s="28">
        <f>342.355+0.111+0.48-4.8</f>
        <v>338.146</v>
      </c>
      <c r="D114" s="63">
        <f>217.215+0.35-6</f>
        <v>211.565</v>
      </c>
      <c r="E114" s="28">
        <f>43.79+1.7</f>
        <v>45.49</v>
      </c>
      <c r="F114" s="28"/>
      <c r="G114" s="28"/>
      <c r="H114" s="28"/>
      <c r="I114" s="28"/>
      <c r="J114" s="28"/>
      <c r="K114" s="28"/>
      <c r="L114" s="28"/>
      <c r="M114" s="28">
        <f t="shared" si="8"/>
        <v>338.146</v>
      </c>
      <c r="N114" s="25"/>
    </row>
    <row r="115" spans="1:14" ht="33.75" customHeight="1">
      <c r="A115" s="46" t="s">
        <v>26</v>
      </c>
      <c r="B115" s="19" t="s">
        <v>32</v>
      </c>
      <c r="C115" s="28">
        <f>730.522+0.609+0.48-8.8</f>
        <v>722.8110000000001</v>
      </c>
      <c r="D115" s="63">
        <f>445.012+0.35-6.7</f>
        <v>438.66200000000003</v>
      </c>
      <c r="E115" s="28">
        <f>111.87-10.1</f>
        <v>101.77000000000001</v>
      </c>
      <c r="F115" s="28">
        <f>G115+J115</f>
        <v>9.83</v>
      </c>
      <c r="G115" s="28">
        <v>7.83</v>
      </c>
      <c r="H115" s="23"/>
      <c r="I115" s="28">
        <v>1.1</v>
      </c>
      <c r="J115" s="28">
        <v>2</v>
      </c>
      <c r="K115" s="28"/>
      <c r="L115" s="28"/>
      <c r="M115" s="28">
        <f t="shared" si="8"/>
        <v>732.6410000000002</v>
      </c>
      <c r="N115" s="25"/>
    </row>
    <row r="116" spans="1:14" ht="19.5" customHeight="1">
      <c r="A116" s="46" t="s">
        <v>1</v>
      </c>
      <c r="B116" s="19" t="s">
        <v>2</v>
      </c>
      <c r="C116" s="28">
        <f>730.963+0.133+0.28-2.3</f>
        <v>729.076</v>
      </c>
      <c r="D116" s="63">
        <f>512.82+0.2-4.14</f>
        <v>508.8800000000001</v>
      </c>
      <c r="E116" s="28">
        <f>29.14+1.7</f>
        <v>30.84</v>
      </c>
      <c r="F116" s="28">
        <f>G116+J116</f>
        <v>37.2</v>
      </c>
      <c r="G116" s="28">
        <v>36.2</v>
      </c>
      <c r="H116" s="28">
        <v>25.2</v>
      </c>
      <c r="I116" s="28"/>
      <c r="J116" s="28">
        <v>1</v>
      </c>
      <c r="K116" s="28"/>
      <c r="L116" s="28"/>
      <c r="M116" s="28">
        <f t="shared" si="8"/>
        <v>766.2760000000001</v>
      </c>
      <c r="N116" s="25"/>
    </row>
    <row r="117" spans="1:14" ht="18.75" customHeight="1">
      <c r="A117" s="45" t="s">
        <v>24</v>
      </c>
      <c r="B117" s="10" t="s">
        <v>17</v>
      </c>
      <c r="C117" s="75">
        <f>58+22.407-3.988-0.00072</f>
        <v>76.41828</v>
      </c>
      <c r="D117" s="63"/>
      <c r="E117" s="28"/>
      <c r="F117" s="28"/>
      <c r="G117" s="28"/>
      <c r="H117" s="28"/>
      <c r="I117" s="28"/>
      <c r="J117" s="28"/>
      <c r="K117" s="28"/>
      <c r="L117" s="28"/>
      <c r="M117" s="75">
        <f t="shared" si="8"/>
        <v>76.41828</v>
      </c>
      <c r="N117" s="25"/>
    </row>
    <row r="118" spans="1:14" ht="15.75">
      <c r="A118" s="46" t="s">
        <v>27</v>
      </c>
      <c r="B118" s="19" t="s">
        <v>18</v>
      </c>
      <c r="C118" s="28">
        <f>218.988-10.2+6.799+0.11+13.416-0.8</f>
        <v>228.31300000000002</v>
      </c>
      <c r="D118" s="63">
        <f>139.868-7.5+0.05+4.5</f>
        <v>136.918</v>
      </c>
      <c r="E118" s="28">
        <f>20.07-2</f>
        <v>18.07</v>
      </c>
      <c r="F118" s="28">
        <f>G118+J118</f>
        <v>2.87</v>
      </c>
      <c r="G118" s="28">
        <v>2.87</v>
      </c>
      <c r="H118" s="23"/>
      <c r="I118" s="28"/>
      <c r="J118" s="28"/>
      <c r="K118" s="28"/>
      <c r="L118" s="28"/>
      <c r="M118" s="28">
        <f t="shared" si="8"/>
        <v>231.18300000000002</v>
      </c>
      <c r="N118" s="25"/>
    </row>
    <row r="119" spans="1:14" ht="15.75">
      <c r="A119" s="46"/>
      <c r="B119" s="18" t="s">
        <v>11</v>
      </c>
      <c r="C119" s="31">
        <f aca="true" t="shared" si="9" ref="C119:J119">C113+C114+C115+C116+C117+C118</f>
        <v>3789.5952800000005</v>
      </c>
      <c r="D119" s="31">
        <f t="shared" si="9"/>
        <v>2446.6650000000004</v>
      </c>
      <c r="E119" s="31">
        <f t="shared" si="9"/>
        <v>280.375</v>
      </c>
      <c r="F119" s="31">
        <f t="shared" si="9"/>
        <v>55.949999999999996</v>
      </c>
      <c r="G119" s="31">
        <f t="shared" si="9"/>
        <v>48.9</v>
      </c>
      <c r="H119" s="31">
        <f t="shared" si="9"/>
        <v>25.2</v>
      </c>
      <c r="I119" s="31">
        <f t="shared" si="9"/>
        <v>1.1</v>
      </c>
      <c r="J119" s="31">
        <f t="shared" si="9"/>
        <v>7.05</v>
      </c>
      <c r="K119" s="31">
        <f>K113+K114+K115+K116+K117+K118</f>
        <v>3.55</v>
      </c>
      <c r="L119" s="31">
        <f>L113+L114+L115+L116+L117+L118</f>
        <v>3.55</v>
      </c>
      <c r="M119" s="31">
        <f>SUM(C119,F119)</f>
        <v>3845.5452800000003</v>
      </c>
      <c r="N119" s="25"/>
    </row>
    <row r="120" spans="1:14" ht="14.25" customHeight="1" hidden="1">
      <c r="A120" s="45"/>
      <c r="B120" s="9"/>
      <c r="C120" s="31"/>
      <c r="D120" s="28"/>
      <c r="E120" s="28"/>
      <c r="F120" s="28"/>
      <c r="G120" s="28"/>
      <c r="H120" s="28"/>
      <c r="I120" s="28"/>
      <c r="J120" s="28"/>
      <c r="K120" s="28"/>
      <c r="L120" s="28"/>
      <c r="M120" s="28">
        <f>SUM(C120,F120)</f>
        <v>0</v>
      </c>
      <c r="N120" s="25"/>
    </row>
    <row r="121" spans="1:14" ht="14.25" customHeight="1">
      <c r="A121" s="45"/>
      <c r="B121" s="9"/>
      <c r="C121" s="31"/>
      <c r="D121" s="28"/>
      <c r="E121" s="28"/>
      <c r="F121" s="28"/>
      <c r="G121" s="28"/>
      <c r="H121" s="28"/>
      <c r="I121" s="28"/>
      <c r="J121" s="28"/>
      <c r="K121" s="28"/>
      <c r="L121" s="28"/>
      <c r="M121" s="28"/>
      <c r="N121" s="25"/>
    </row>
    <row r="122" spans="1:14" ht="21.75" customHeight="1">
      <c r="A122" s="46" t="s">
        <v>191</v>
      </c>
      <c r="B122" s="18" t="s">
        <v>3</v>
      </c>
      <c r="C122" s="28"/>
      <c r="D122" s="28"/>
      <c r="E122" s="28"/>
      <c r="F122" s="28"/>
      <c r="G122" s="28"/>
      <c r="H122" s="28"/>
      <c r="I122" s="28"/>
      <c r="J122" s="28"/>
      <c r="K122" s="28"/>
      <c r="L122" s="28"/>
      <c r="M122" s="28"/>
      <c r="N122" s="25"/>
    </row>
    <row r="123" spans="1:14" ht="51" customHeight="1" hidden="1">
      <c r="A123" s="45"/>
      <c r="B123" s="19" t="s">
        <v>31</v>
      </c>
      <c r="C123" s="28"/>
      <c r="D123" s="28"/>
      <c r="E123" s="28"/>
      <c r="F123" s="28"/>
      <c r="G123" s="28"/>
      <c r="H123" s="28"/>
      <c r="I123" s="28"/>
      <c r="J123" s="28"/>
      <c r="K123" s="28"/>
      <c r="L123" s="28"/>
      <c r="M123" s="28">
        <f aca="true" t="shared" si="10" ref="M123:M141">SUM(C123,F123)</f>
        <v>0</v>
      </c>
      <c r="N123" s="25"/>
    </row>
    <row r="124" spans="1:14" ht="4.5" customHeight="1">
      <c r="A124" s="45"/>
      <c r="B124" s="19"/>
      <c r="C124" s="28"/>
      <c r="D124" s="28"/>
      <c r="E124" s="28"/>
      <c r="F124" s="28"/>
      <c r="G124" s="28"/>
      <c r="H124" s="28"/>
      <c r="I124" s="28"/>
      <c r="J124" s="28"/>
      <c r="K124" s="28"/>
      <c r="L124" s="28"/>
      <c r="M124" s="28"/>
      <c r="N124" s="25"/>
    </row>
    <row r="125" spans="1:14" ht="47.25" customHeight="1">
      <c r="A125" s="40">
        <v>250311</v>
      </c>
      <c r="B125" s="41" t="s">
        <v>175</v>
      </c>
      <c r="C125" s="28">
        <v>6465.98</v>
      </c>
      <c r="D125" s="28"/>
      <c r="E125" s="28"/>
      <c r="F125" s="28"/>
      <c r="G125" s="28"/>
      <c r="H125" s="28"/>
      <c r="I125" s="28"/>
      <c r="J125" s="28"/>
      <c r="K125" s="28"/>
      <c r="L125" s="28"/>
      <c r="M125" s="28">
        <f t="shared" si="10"/>
        <v>6465.98</v>
      </c>
      <c r="N125" s="25"/>
    </row>
    <row r="126" spans="1:14" ht="32.25" customHeight="1">
      <c r="A126" s="46" t="s">
        <v>121</v>
      </c>
      <c r="B126" s="29" t="s">
        <v>176</v>
      </c>
      <c r="C126" s="28">
        <v>124.5</v>
      </c>
      <c r="D126" s="28"/>
      <c r="E126" s="28"/>
      <c r="F126" s="28"/>
      <c r="G126" s="28"/>
      <c r="H126" s="28"/>
      <c r="I126" s="28"/>
      <c r="J126" s="28"/>
      <c r="K126" s="28"/>
      <c r="L126" s="28"/>
      <c r="M126" s="28">
        <f t="shared" si="10"/>
        <v>124.5</v>
      </c>
      <c r="N126" s="25"/>
    </row>
    <row r="127" spans="1:14" ht="64.5" customHeight="1" hidden="1">
      <c r="A127" s="46"/>
      <c r="B127" s="29"/>
      <c r="C127" s="28"/>
      <c r="D127" s="28"/>
      <c r="E127" s="28"/>
      <c r="F127" s="28"/>
      <c r="G127" s="28"/>
      <c r="H127" s="28"/>
      <c r="I127" s="28"/>
      <c r="J127" s="28"/>
      <c r="K127" s="28"/>
      <c r="L127" s="28"/>
      <c r="M127" s="28">
        <f t="shared" si="10"/>
        <v>0</v>
      </c>
      <c r="N127" s="25"/>
    </row>
    <row r="128" spans="1:14" ht="34.5" customHeight="1">
      <c r="A128" s="46" t="s">
        <v>211</v>
      </c>
      <c r="B128" s="73" t="s">
        <v>212</v>
      </c>
      <c r="C128" s="28">
        <f>303.5+17.7</f>
        <v>321.2</v>
      </c>
      <c r="D128" s="28"/>
      <c r="E128" s="28"/>
      <c r="F128" s="28"/>
      <c r="G128" s="28"/>
      <c r="H128" s="28"/>
      <c r="I128" s="28"/>
      <c r="J128" s="28"/>
      <c r="K128" s="28"/>
      <c r="L128" s="28"/>
      <c r="M128" s="28">
        <f t="shared" si="10"/>
        <v>321.2</v>
      </c>
      <c r="N128" s="25"/>
    </row>
    <row r="129" spans="1:14" ht="66.75" customHeight="1">
      <c r="A129" s="46" t="s">
        <v>219</v>
      </c>
      <c r="B129" s="29" t="s">
        <v>220</v>
      </c>
      <c r="C129" s="28">
        <v>18</v>
      </c>
      <c r="D129" s="28"/>
      <c r="E129" s="28"/>
      <c r="F129" s="28"/>
      <c r="G129" s="28"/>
      <c r="H129" s="28"/>
      <c r="I129" s="28"/>
      <c r="J129" s="28"/>
      <c r="K129" s="28"/>
      <c r="L129" s="28"/>
      <c r="M129" s="28">
        <f t="shared" si="10"/>
        <v>18</v>
      </c>
      <c r="N129" s="25"/>
    </row>
    <row r="130" spans="1:14" ht="49.5" customHeight="1">
      <c r="A130" s="46" t="s">
        <v>182</v>
      </c>
      <c r="B130" s="29" t="s">
        <v>183</v>
      </c>
      <c r="C130" s="28"/>
      <c r="D130" s="28"/>
      <c r="E130" s="28"/>
      <c r="F130" s="28">
        <f>G130+J130</f>
        <v>870.5</v>
      </c>
      <c r="G130" s="28">
        <f>278.6-0.4</f>
        <v>278.20000000000005</v>
      </c>
      <c r="H130" s="28"/>
      <c r="I130" s="28"/>
      <c r="J130" s="28">
        <f>591.9+0.4</f>
        <v>592.3</v>
      </c>
      <c r="K130" s="28"/>
      <c r="L130" s="28"/>
      <c r="M130" s="28">
        <f t="shared" si="10"/>
        <v>870.5</v>
      </c>
      <c r="N130" s="25"/>
    </row>
    <row r="131" spans="1:14" ht="65.25" customHeight="1">
      <c r="A131" s="46" t="s">
        <v>193</v>
      </c>
      <c r="B131" s="68" t="s">
        <v>194</v>
      </c>
      <c r="C131" s="28"/>
      <c r="D131" s="28"/>
      <c r="E131" s="28"/>
      <c r="F131" s="28">
        <f>G131+J131</f>
        <v>9</v>
      </c>
      <c r="G131" s="28">
        <v>9</v>
      </c>
      <c r="H131" s="28"/>
      <c r="I131" s="28"/>
      <c r="J131" s="28"/>
      <c r="K131" s="28"/>
      <c r="L131" s="28"/>
      <c r="M131" s="28">
        <f t="shared" si="10"/>
        <v>9</v>
      </c>
      <c r="N131" s="25"/>
    </row>
    <row r="132" spans="1:14" ht="18.75" customHeight="1">
      <c r="A132" s="46"/>
      <c r="B132" s="69" t="s">
        <v>195</v>
      </c>
      <c r="C132" s="28"/>
      <c r="D132" s="28"/>
      <c r="E132" s="28"/>
      <c r="F132" s="28"/>
      <c r="G132" s="28"/>
      <c r="H132" s="28"/>
      <c r="I132" s="28"/>
      <c r="J132" s="28"/>
      <c r="K132" s="28"/>
      <c r="L132" s="28"/>
      <c r="M132" s="28"/>
      <c r="N132" s="25"/>
    </row>
    <row r="133" spans="1:14" ht="31.5" customHeight="1">
      <c r="A133" s="46"/>
      <c r="B133" s="68" t="s">
        <v>196</v>
      </c>
      <c r="C133" s="28"/>
      <c r="D133" s="28"/>
      <c r="E133" s="28"/>
      <c r="F133" s="28">
        <f>G133+J133</f>
        <v>6.7</v>
      </c>
      <c r="G133" s="28">
        <v>6.7</v>
      </c>
      <c r="H133" s="28"/>
      <c r="I133" s="28"/>
      <c r="J133" s="28"/>
      <c r="K133" s="28"/>
      <c r="L133" s="28"/>
      <c r="M133" s="28">
        <f t="shared" si="10"/>
        <v>6.7</v>
      </c>
      <c r="N133" s="25"/>
    </row>
    <row r="134" spans="1:14" ht="32.25" customHeight="1">
      <c r="A134" s="46"/>
      <c r="B134" s="68" t="s">
        <v>197</v>
      </c>
      <c r="C134" s="28"/>
      <c r="D134" s="28"/>
      <c r="E134" s="28"/>
      <c r="F134" s="28">
        <f>G134+J134</f>
        <v>2.3</v>
      </c>
      <c r="G134" s="28">
        <v>2.3</v>
      </c>
      <c r="H134" s="28"/>
      <c r="I134" s="28"/>
      <c r="J134" s="28"/>
      <c r="K134" s="28"/>
      <c r="L134" s="28"/>
      <c r="M134" s="28">
        <f t="shared" si="10"/>
        <v>2.3</v>
      </c>
      <c r="N134" s="25"/>
    </row>
    <row r="135" spans="1:14" ht="99" customHeight="1">
      <c r="A135" s="46" t="s">
        <v>193</v>
      </c>
      <c r="B135" s="68" t="s">
        <v>198</v>
      </c>
      <c r="C135" s="28"/>
      <c r="D135" s="28"/>
      <c r="E135" s="28"/>
      <c r="F135" s="28">
        <f>G135+J135</f>
        <v>3.6</v>
      </c>
      <c r="G135" s="28">
        <v>3.6</v>
      </c>
      <c r="H135" s="28"/>
      <c r="I135" s="28"/>
      <c r="J135" s="28"/>
      <c r="K135" s="28"/>
      <c r="L135" s="28"/>
      <c r="M135" s="28">
        <f t="shared" si="10"/>
        <v>3.6</v>
      </c>
      <c r="N135" s="25"/>
    </row>
    <row r="136" spans="1:14" ht="47.25" customHeight="1">
      <c r="A136" s="46" t="s">
        <v>193</v>
      </c>
      <c r="B136" s="77" t="s">
        <v>217</v>
      </c>
      <c r="C136" s="28">
        <f>23.1+5</f>
        <v>28.1</v>
      </c>
      <c r="D136" s="28"/>
      <c r="E136" s="28"/>
      <c r="F136" s="28"/>
      <c r="G136" s="28"/>
      <c r="H136" s="28"/>
      <c r="I136" s="28"/>
      <c r="J136" s="28"/>
      <c r="K136" s="28"/>
      <c r="L136" s="28"/>
      <c r="M136" s="28">
        <f t="shared" si="10"/>
        <v>28.1</v>
      </c>
      <c r="N136" s="25"/>
    </row>
    <row r="137" spans="1:14" ht="66.75" customHeight="1">
      <c r="A137" s="46" t="s">
        <v>201</v>
      </c>
      <c r="B137" s="73" t="s">
        <v>202</v>
      </c>
      <c r="C137" s="28">
        <v>296.6</v>
      </c>
      <c r="D137" s="28"/>
      <c r="E137" s="28"/>
      <c r="F137" s="28"/>
      <c r="G137" s="28"/>
      <c r="H137" s="28"/>
      <c r="I137" s="28"/>
      <c r="J137" s="28"/>
      <c r="K137" s="28"/>
      <c r="L137" s="28"/>
      <c r="M137" s="28">
        <f t="shared" si="10"/>
        <v>296.6</v>
      </c>
      <c r="N137" s="25"/>
    </row>
    <row r="138" spans="1:14" ht="21.75" customHeight="1">
      <c r="A138" s="46"/>
      <c r="B138" s="70" t="s">
        <v>195</v>
      </c>
      <c r="C138" s="71"/>
      <c r="D138" s="28"/>
      <c r="E138" s="28"/>
      <c r="F138" s="28"/>
      <c r="G138" s="28"/>
      <c r="H138" s="28"/>
      <c r="I138" s="28"/>
      <c r="J138" s="28"/>
      <c r="K138" s="28"/>
      <c r="L138" s="28"/>
      <c r="M138" s="28">
        <f t="shared" si="10"/>
        <v>0</v>
      </c>
      <c r="N138" s="25"/>
    </row>
    <row r="139" spans="1:14" ht="60.75" customHeight="1">
      <c r="A139" s="46"/>
      <c r="B139" s="70" t="s">
        <v>203</v>
      </c>
      <c r="C139" s="72">
        <v>98.1</v>
      </c>
      <c r="D139" s="28"/>
      <c r="E139" s="28"/>
      <c r="F139" s="28"/>
      <c r="G139" s="28"/>
      <c r="H139" s="28"/>
      <c r="I139" s="28"/>
      <c r="J139" s="28"/>
      <c r="K139" s="28"/>
      <c r="L139" s="28"/>
      <c r="M139" s="28">
        <f t="shared" si="10"/>
        <v>98.1</v>
      </c>
      <c r="N139" s="25"/>
    </row>
    <row r="140" spans="1:14" ht="61.5" customHeight="1">
      <c r="A140" s="46"/>
      <c r="B140" s="70" t="s">
        <v>204</v>
      </c>
      <c r="C140" s="72">
        <v>99.8</v>
      </c>
      <c r="D140" s="28"/>
      <c r="E140" s="28"/>
      <c r="F140" s="28"/>
      <c r="G140" s="28"/>
      <c r="H140" s="28"/>
      <c r="I140" s="28"/>
      <c r="J140" s="28"/>
      <c r="K140" s="28"/>
      <c r="L140" s="28"/>
      <c r="M140" s="28">
        <f t="shared" si="10"/>
        <v>99.8</v>
      </c>
      <c r="N140" s="25"/>
    </row>
    <row r="141" spans="1:14" ht="66" customHeight="1">
      <c r="A141" s="46"/>
      <c r="B141" s="70" t="s">
        <v>205</v>
      </c>
      <c r="C141" s="72">
        <v>98.7</v>
      </c>
      <c r="D141" s="28"/>
      <c r="E141" s="28"/>
      <c r="F141" s="28"/>
      <c r="G141" s="28"/>
      <c r="H141" s="28"/>
      <c r="I141" s="28"/>
      <c r="J141" s="28"/>
      <c r="K141" s="28"/>
      <c r="L141" s="28"/>
      <c r="M141" s="28">
        <f t="shared" si="10"/>
        <v>98.7</v>
      </c>
      <c r="N141" s="25"/>
    </row>
    <row r="142" spans="1:14" ht="19.5" customHeight="1">
      <c r="A142" s="46"/>
      <c r="B142" s="42" t="s">
        <v>4</v>
      </c>
      <c r="C142" s="61">
        <f>C125+C126+C124+C137+C128+C136+C129</f>
        <v>7254.38</v>
      </c>
      <c r="D142" s="8"/>
      <c r="E142" s="23"/>
      <c r="F142" s="61">
        <f>G142+J142</f>
        <v>883.1</v>
      </c>
      <c r="G142" s="61">
        <f>G125+G126+G130+G131+G135</f>
        <v>290.80000000000007</v>
      </c>
      <c r="H142" s="61">
        <f>H125+H126+H130</f>
        <v>0</v>
      </c>
      <c r="I142" s="61">
        <f>I125+I126+I130</f>
        <v>0</v>
      </c>
      <c r="J142" s="61">
        <f>J125+J126+J130+J131+J135</f>
        <v>592.3</v>
      </c>
      <c r="K142" s="61">
        <f>K125+K126+K130</f>
        <v>0</v>
      </c>
      <c r="L142" s="61">
        <f>L125+L126+L130</f>
        <v>0</v>
      </c>
      <c r="M142" s="28">
        <f>SUM(C142,F142)</f>
        <v>8137.4800000000005</v>
      </c>
      <c r="N142" s="25"/>
    </row>
    <row r="143" spans="1:14" ht="61.5" customHeight="1" hidden="1">
      <c r="A143" s="46"/>
      <c r="B143" s="41"/>
      <c r="C143" s="28"/>
      <c r="D143" s="28"/>
      <c r="E143" s="28"/>
      <c r="F143" s="28"/>
      <c r="G143" s="28"/>
      <c r="H143" s="28"/>
      <c r="I143" s="28"/>
      <c r="J143" s="28"/>
      <c r="K143" s="28"/>
      <c r="L143" s="28"/>
      <c r="M143" s="28"/>
      <c r="N143" s="25"/>
    </row>
    <row r="144" spans="1:14" ht="18.75">
      <c r="A144" s="45"/>
      <c r="B144" s="27" t="s">
        <v>137</v>
      </c>
      <c r="C144" s="31">
        <f>C142+C119+C109+C61+C48+C18</f>
        <v>128924.489</v>
      </c>
      <c r="D144" s="31">
        <f>D142+D119+D109+D61+D48+D18</f>
        <v>43991.861</v>
      </c>
      <c r="E144" s="31">
        <f>E142+E119+E109+E61+E48+E18</f>
        <v>7871.276999999999</v>
      </c>
      <c r="F144" s="31">
        <f>G144+J144</f>
        <v>2399.928</v>
      </c>
      <c r="G144" s="31">
        <f aca="true" t="shared" si="11" ref="G144:L144">G142+G119+G109+G61+G48+G18</f>
        <v>938.55</v>
      </c>
      <c r="H144" s="31">
        <f t="shared" si="11"/>
        <v>132.2</v>
      </c>
      <c r="I144" s="31">
        <f t="shared" si="11"/>
        <v>1.1</v>
      </c>
      <c r="J144" s="31">
        <f t="shared" si="11"/>
        <v>1461.378</v>
      </c>
      <c r="K144" s="31">
        <f t="shared" si="11"/>
        <v>621.178</v>
      </c>
      <c r="L144" s="31">
        <f t="shared" si="11"/>
        <v>604.178</v>
      </c>
      <c r="M144" s="31">
        <f>C144+F144</f>
        <v>131324.41700000002</v>
      </c>
      <c r="N144" s="25"/>
    </row>
    <row r="145" spans="1:14" ht="31.5">
      <c r="A145" s="45"/>
      <c r="B145" s="10" t="s">
        <v>122</v>
      </c>
      <c r="C145" s="28">
        <f>C108+C107+C106+C102+C89+C88+C87+C86+C85+C84+C83+C82+C81+C80+C79+C78+C77+C75+C74+C73+C72+C71+C69+C67+C66+C65+C64+C137+C24+C26</f>
        <v>46465.34500000001</v>
      </c>
      <c r="D145" s="28"/>
      <c r="E145" s="28"/>
      <c r="F145" s="28">
        <f>G145+J145</f>
        <v>1231.1</v>
      </c>
      <c r="G145" s="28">
        <f>G108+G107+G106+G102+G89+G88+G87+G86+G85+G84+G83+G82+G81+G80+G79+G78+G77+G75+G74+G73+G72+G71+G69+G67+G66+G65+G64+G130+G41</f>
        <v>393.00000000000006</v>
      </c>
      <c r="H145" s="28"/>
      <c r="I145" s="28"/>
      <c r="J145" s="28">
        <f>J108+J107+J106+J102+J89+J88+J87+J86+J85+J84+J83+J82+J81+J80+J79+J78+J77+J75+J74+J73+J72+J71+J69+J67+J66+J65+J64+J130+J41</f>
        <v>838.0999999999999</v>
      </c>
      <c r="K145" s="28">
        <f>K66</f>
        <v>1.4</v>
      </c>
      <c r="L145" s="28">
        <f>L66</f>
        <v>1.4</v>
      </c>
      <c r="M145" s="28">
        <f>F145+C145</f>
        <v>47696.44500000001</v>
      </c>
      <c r="N145" s="25"/>
    </row>
    <row r="146" spans="1:13" ht="42" customHeight="1">
      <c r="A146" s="7"/>
      <c r="B146" s="79" t="s">
        <v>150</v>
      </c>
      <c r="C146" s="79"/>
      <c r="D146" s="8"/>
      <c r="F146" s="58"/>
      <c r="G146" s="92" t="s">
        <v>151</v>
      </c>
      <c r="H146" s="92"/>
      <c r="I146" s="92"/>
      <c r="J146" s="92"/>
      <c r="K146" s="13"/>
      <c r="L146" s="17" t="s">
        <v>116</v>
      </c>
      <c r="M146" s="13"/>
    </row>
    <row r="147" spans="1:13" ht="12.75" customHeight="1">
      <c r="A147" s="7"/>
      <c r="B147" s="9"/>
      <c r="C147" s="23"/>
      <c r="D147" s="23"/>
      <c r="E147" s="23"/>
      <c r="F147" s="13"/>
      <c r="G147" s="13"/>
      <c r="H147" s="13"/>
      <c r="I147" s="13"/>
      <c r="J147" s="13"/>
      <c r="K147" s="13"/>
      <c r="L147" s="13"/>
      <c r="M147" s="13"/>
    </row>
    <row r="148" spans="1:5" ht="15.75" hidden="1">
      <c r="A148" s="7"/>
      <c r="B148" s="10"/>
      <c r="C148" s="25"/>
      <c r="D148" s="25"/>
      <c r="E148" s="25"/>
    </row>
    <row r="149" spans="1:13" ht="15.75" hidden="1">
      <c r="A149" s="7"/>
      <c r="B149" s="15"/>
      <c r="C149" s="24"/>
      <c r="D149" s="24"/>
      <c r="E149" s="24"/>
      <c r="F149" s="16">
        <f>SUM(G149,J149)</f>
        <v>3.8</v>
      </c>
      <c r="G149" s="16">
        <f>SUM(G14)</f>
        <v>1.8</v>
      </c>
      <c r="H149" s="16">
        <f>SUM(H14)</f>
        <v>0</v>
      </c>
      <c r="I149" s="16">
        <f>SUM(I14)</f>
        <v>0</v>
      </c>
      <c r="J149" s="16">
        <f>SUM(J14)</f>
        <v>2</v>
      </c>
      <c r="K149" s="16"/>
      <c r="L149" s="16"/>
      <c r="M149" s="16" t="e">
        <f>SUM(#REF!,F149)</f>
        <v>#REF!</v>
      </c>
    </row>
    <row r="150" spans="1:13" ht="15.75" hidden="1">
      <c r="A150" s="7"/>
      <c r="B150" s="15"/>
      <c r="C150" s="24"/>
      <c r="D150" s="24"/>
      <c r="E150" s="24"/>
      <c r="F150" s="16" t="e">
        <f aca="true" t="shared" si="12" ref="F150:F169">SUM(G150,J150)</f>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2"/>
        <v>#REF!</v>
      </c>
      <c r="G151" s="16" t="e">
        <f>SUM(G48,#REF!,#REF!,#REF!,#REF!)</f>
        <v>#REF!</v>
      </c>
      <c r="H151" s="16" t="e">
        <f>SUM(H48,#REF!,#REF!,#REF!,#REF!)</f>
        <v>#REF!</v>
      </c>
      <c r="I151" s="16" t="e">
        <f>SUM(I48,#REF!,#REF!,#REF!,#REF!)</f>
        <v>#REF!</v>
      </c>
      <c r="J151" s="16" t="e">
        <f>SUM(J48,#REF!,#REF!,#REF!,#REF!)</f>
        <v>#REF!</v>
      </c>
      <c r="K151" s="16"/>
      <c r="L151" s="16"/>
      <c r="M151" s="16" t="e">
        <f>SUM(#REF!,F151)</f>
        <v>#REF!</v>
      </c>
    </row>
    <row r="152" spans="1:13" ht="15.75" hidden="1">
      <c r="A152" s="7"/>
      <c r="B152" s="15"/>
      <c r="C152" s="24"/>
      <c r="D152" s="24"/>
      <c r="E152" s="24"/>
      <c r="F152" s="16">
        <f t="shared" si="12"/>
        <v>380.768</v>
      </c>
      <c r="G152" s="16">
        <f>SUM(G50)</f>
        <v>20.4</v>
      </c>
      <c r="H152" s="16">
        <f>SUM(H50)</f>
        <v>0</v>
      </c>
      <c r="I152" s="16">
        <f>SUM(I50)</f>
        <v>0</v>
      </c>
      <c r="J152" s="16">
        <f>SUM(J50)</f>
        <v>360.368</v>
      </c>
      <c r="K152" s="16"/>
      <c r="L152" s="16"/>
      <c r="M152" s="16" t="e">
        <f>SUM(#REF!,F152)</f>
        <v>#REF!</v>
      </c>
    </row>
    <row r="153" spans="1:13" ht="15.75" hidden="1">
      <c r="A153" s="7"/>
      <c r="B153" s="15"/>
      <c r="C153" s="24"/>
      <c r="D153" s="24"/>
      <c r="E153" s="24"/>
      <c r="F153" s="16" t="e">
        <f t="shared" si="12"/>
        <v>#REF!</v>
      </c>
      <c r="G153" s="16" t="e">
        <f>SUM(G64:G67,#REF!)</f>
        <v>#REF!</v>
      </c>
      <c r="H153" s="16" t="e">
        <f>SUM(H64:H67,#REF!)</f>
        <v>#REF!</v>
      </c>
      <c r="I153" s="16" t="e">
        <f>SUM(I64:I67,#REF!)</f>
        <v>#REF!</v>
      </c>
      <c r="J153" s="16" t="e">
        <f>SUM(J64:J67,#REF!)</f>
        <v>#REF!</v>
      </c>
      <c r="K153" s="16"/>
      <c r="L153" s="16"/>
      <c r="M153" s="16" t="e">
        <f>SUM(#REF!,F153)</f>
        <v>#REF!</v>
      </c>
    </row>
    <row r="154" spans="1:13" ht="12.75" customHeight="1" hidden="1">
      <c r="A154" s="7"/>
      <c r="B154" s="15"/>
      <c r="C154" s="24"/>
      <c r="D154" s="24"/>
      <c r="E154" s="24"/>
      <c r="F154" s="16" t="e">
        <f>SUM(#REF!)</f>
        <v>#REF!</v>
      </c>
      <c r="G154" s="16" t="e">
        <f>SUM(#REF!)</f>
        <v>#REF!</v>
      </c>
      <c r="H154" s="16" t="e">
        <f>SUM(#REF!)</f>
        <v>#REF!</v>
      </c>
      <c r="I154" s="16" t="e">
        <f>SUM(#REF!)</f>
        <v>#REF!</v>
      </c>
      <c r="J154" s="16" t="e">
        <f>SUM(#REF!)</f>
        <v>#REF!</v>
      </c>
      <c r="K154" s="16"/>
      <c r="L154" s="16"/>
      <c r="M154" s="16" t="e">
        <f>SUM(#REF!,F154)</f>
        <v>#REF!</v>
      </c>
    </row>
    <row r="155" spans="1:13" ht="15.75" hidden="1">
      <c r="A155" s="7"/>
      <c r="B155" s="15"/>
      <c r="C155" s="24"/>
      <c r="D155" s="24"/>
      <c r="E155" s="24"/>
      <c r="F155" s="16" t="e">
        <f t="shared" si="12"/>
        <v>#REF!</v>
      </c>
      <c r="G155" s="16" t="e">
        <f>SUM(#REF!,G112)</f>
        <v>#REF!</v>
      </c>
      <c r="H155" s="16" t="e">
        <f>SUM(#REF!,H112)</f>
        <v>#REF!</v>
      </c>
      <c r="I155" s="16" t="e">
        <f>SUM(#REF!,I112)</f>
        <v>#REF!</v>
      </c>
      <c r="J155" s="16" t="e">
        <f>SUM(#REF!,J112)</f>
        <v>#REF!</v>
      </c>
      <c r="K155" s="16"/>
      <c r="L155" s="16"/>
      <c r="M155" s="16" t="e">
        <f>SUM(#REF!,F155)</f>
        <v>#REF!</v>
      </c>
    </row>
    <row r="156" spans="1:13" ht="15.75" hidden="1">
      <c r="A156" s="7"/>
      <c r="B156" s="15"/>
      <c r="C156" s="24"/>
      <c r="D156" s="24"/>
      <c r="E156" s="24"/>
      <c r="F156" s="16" t="e">
        <f t="shared" si="12"/>
        <v>#REF!</v>
      </c>
      <c r="G156" s="16" t="e">
        <f>SUM(#REF!,#REF!)</f>
        <v>#REF!</v>
      </c>
      <c r="H156" s="16" t="e">
        <f>SUM(#REF!,#REF!)</f>
        <v>#REF!</v>
      </c>
      <c r="I156" s="16" t="e">
        <f>SUM(#REF!,#REF!)</f>
        <v>#REF!</v>
      </c>
      <c r="J156" s="16" t="e">
        <f>SUM(#REF!,#REF!)</f>
        <v>#REF!</v>
      </c>
      <c r="K156" s="16"/>
      <c r="L156" s="16"/>
      <c r="M156" s="16" t="e">
        <f>SUM(#REF!,F156)</f>
        <v>#REF!</v>
      </c>
    </row>
    <row r="157" spans="1:13" ht="15.75" hidden="1">
      <c r="A157" s="7"/>
      <c r="B157" s="15"/>
      <c r="C157" s="24"/>
      <c r="D157" s="24"/>
      <c r="E157" s="24"/>
      <c r="F157" s="16" t="e">
        <f t="shared" si="12"/>
        <v>#REF!</v>
      </c>
      <c r="G157" s="16" t="e">
        <f>SUM(#REF!)</f>
        <v>#REF!</v>
      </c>
      <c r="H157" s="16" t="e">
        <f>SUM(#REF!)</f>
        <v>#REF!</v>
      </c>
      <c r="I157" s="16" t="e">
        <f>SUM(#REF!)</f>
        <v>#REF!</v>
      </c>
      <c r="J157" s="16" t="e">
        <f>SUM(#REF!)</f>
        <v>#REF!</v>
      </c>
      <c r="K157" s="16"/>
      <c r="L157" s="16"/>
      <c r="M157" s="16" t="e">
        <f>SUM(#REF!,F157)</f>
        <v>#REF!</v>
      </c>
    </row>
    <row r="158" spans="1:13" ht="15.75" hidden="1">
      <c r="A158" s="7"/>
      <c r="B158" s="15"/>
      <c r="C158" s="24"/>
      <c r="D158" s="24"/>
      <c r="E158" s="24"/>
      <c r="F158" s="16" t="e">
        <f t="shared" si="12"/>
        <v>#REF!</v>
      </c>
      <c r="G158" s="16" t="e">
        <f>SUM(#REF!,#REF!,#REF!,#REF!,#REF!,#REF!,#REF!,#REF!,#REF!,#REF!,#REF!)</f>
        <v>#REF!</v>
      </c>
      <c r="H158" s="16" t="e">
        <f>SUM(#REF!,#REF!,#REF!,#REF!,#REF!,#REF!,#REF!,#REF!,#REF!,#REF!,#REF!)</f>
        <v>#REF!</v>
      </c>
      <c r="I158" s="16" t="e">
        <f>SUM(#REF!,#REF!,#REF!,#REF!,#REF!,#REF!,#REF!,#REF!,#REF!,#REF!,#REF!)</f>
        <v>#REF!</v>
      </c>
      <c r="J158" s="16" t="e">
        <f>SUM(#REF!,#REF!,#REF!,#REF!,#REF!,#REF!,#REF!,#REF!,#REF!,#REF!,#REF!)</f>
        <v>#REF!</v>
      </c>
      <c r="K158" s="16"/>
      <c r="L158" s="16"/>
      <c r="M158" s="16" t="e">
        <f>SUM(#REF!,F158)</f>
        <v>#REF!</v>
      </c>
    </row>
    <row r="159" spans="1:13" ht="15.75" hidden="1">
      <c r="A159" s="7"/>
      <c r="B159" s="15"/>
      <c r="C159" s="24"/>
      <c r="D159" s="24"/>
      <c r="E159" s="24"/>
      <c r="F159" s="16" t="e">
        <f t="shared" si="12"/>
        <v>#REF!</v>
      </c>
      <c r="G159" s="16" t="e">
        <f>SUM(#REF!)</f>
        <v>#REF!</v>
      </c>
      <c r="H159" s="16" t="e">
        <f>SUM(#REF!)</f>
        <v>#REF!</v>
      </c>
      <c r="I159" s="16" t="e">
        <f>SUM(#REF!)</f>
        <v>#REF!</v>
      </c>
      <c r="J159" s="16" t="e">
        <f>SUM(#REF!)</f>
        <v>#REF!</v>
      </c>
      <c r="K159" s="16"/>
      <c r="L159" s="16"/>
      <c r="M159" s="16" t="e">
        <f>SUM(#REF!,F159)</f>
        <v>#REF!</v>
      </c>
    </row>
    <row r="160" spans="1:13" ht="15.75" hidden="1">
      <c r="A160" s="7"/>
      <c r="B160" s="15"/>
      <c r="C160" s="24"/>
      <c r="D160" s="24"/>
      <c r="E160" s="24"/>
      <c r="F160" s="16" t="e">
        <f t="shared" si="12"/>
        <v>#REF!</v>
      </c>
      <c r="G160" s="16" t="e">
        <f>SUM(#REF!,#REF!,#REF!,#REF!,#REF!,#REF!)</f>
        <v>#REF!</v>
      </c>
      <c r="H160" s="16" t="e">
        <f>SUM(#REF!,#REF!,#REF!,#REF!,#REF!,#REF!)</f>
        <v>#REF!</v>
      </c>
      <c r="I160" s="16" t="e">
        <f>SUM(#REF!,#REF!,#REF!,#REF!,#REF!,#REF!)</f>
        <v>#REF!</v>
      </c>
      <c r="J160" s="16" t="e">
        <f>SUM(#REF!,#REF!,#REF!,#REF!,#REF!,#REF!)</f>
        <v>#REF!</v>
      </c>
      <c r="K160" s="16"/>
      <c r="L160" s="16"/>
      <c r="M160" s="16" t="e">
        <f>SUM(#REF!,F160)</f>
        <v>#REF!</v>
      </c>
    </row>
    <row r="161" spans="1:13" ht="15.75" hidden="1">
      <c r="A161" s="7"/>
      <c r="B161" s="15"/>
      <c r="C161" s="24"/>
      <c r="D161" s="24"/>
      <c r="E161" s="24"/>
      <c r="F161" s="16" t="e">
        <f t="shared" si="12"/>
        <v>#REF!</v>
      </c>
      <c r="G161" s="16" t="e">
        <f>SUM(#REF!,#REF!)</f>
        <v>#REF!</v>
      </c>
      <c r="H161" s="16" t="e">
        <f>SUM(#REF!,#REF!)</f>
        <v>#REF!</v>
      </c>
      <c r="I161" s="16" t="e">
        <f>SUM(#REF!,#REF!)</f>
        <v>#REF!</v>
      </c>
      <c r="J161" s="16" t="e">
        <f>SUM(#REF!,#REF!)</f>
        <v>#REF!</v>
      </c>
      <c r="K161" s="16"/>
      <c r="L161" s="16"/>
      <c r="M161" s="16" t="e">
        <f>SUM(#REF!,F161)</f>
        <v>#REF!</v>
      </c>
    </row>
    <row r="162" spans="1:13" ht="15.75" hidden="1">
      <c r="A162" s="7"/>
      <c r="B162" s="15"/>
      <c r="C162" s="24"/>
      <c r="D162" s="24"/>
      <c r="E162" s="24"/>
      <c r="F162" s="16" t="e">
        <f t="shared" si="12"/>
        <v>#REF!</v>
      </c>
      <c r="G162" s="16" t="e">
        <f>SUM(#REF!)</f>
        <v>#REF!</v>
      </c>
      <c r="H162" s="16" t="e">
        <f>SUM(#REF!)</f>
        <v>#REF!</v>
      </c>
      <c r="I162" s="16" t="e">
        <f>SUM(#REF!)</f>
        <v>#REF!</v>
      </c>
      <c r="J162" s="16" t="e">
        <f>SUM(#REF!)</f>
        <v>#REF!</v>
      </c>
      <c r="K162" s="16"/>
      <c r="L162" s="16"/>
      <c r="M162" s="16" t="e">
        <f>SUM(#REF!,F162)</f>
        <v>#REF!</v>
      </c>
    </row>
    <row r="163" spans="1:13" ht="15.75" hidden="1">
      <c r="A163" s="6"/>
      <c r="B163" s="15"/>
      <c r="C163" s="24"/>
      <c r="D163" s="24"/>
      <c r="E163" s="24"/>
      <c r="F163" s="16" t="e">
        <f t="shared" si="12"/>
        <v>#REF!</v>
      </c>
      <c r="G163" s="16" t="e">
        <f>SUM(#REF!,#REF!,#REF!,#REF!,#REF!)</f>
        <v>#REF!</v>
      </c>
      <c r="H163" s="16" t="e">
        <f>SUM(#REF!,#REF!,#REF!,#REF!,#REF!)</f>
        <v>#REF!</v>
      </c>
      <c r="I163" s="16" t="e">
        <f>SUM(#REF!,#REF!,#REF!,#REF!,#REF!)</f>
        <v>#REF!</v>
      </c>
      <c r="J163" s="16" t="e">
        <f>SUM(#REF!,#REF!,#REF!,#REF!,#REF!)</f>
        <v>#REF!</v>
      </c>
      <c r="K163" s="16"/>
      <c r="L163" s="16"/>
      <c r="M163" s="16" t="e">
        <f>SUM(#REF!,F163)</f>
        <v>#REF!</v>
      </c>
    </row>
    <row r="164" spans="1:13" ht="15.75" hidden="1">
      <c r="A164" s="6"/>
      <c r="B164" s="15"/>
      <c r="C164" s="24"/>
      <c r="D164" s="24"/>
      <c r="E164" s="24"/>
      <c r="F164" s="16" t="e">
        <f>SUM(#REF!,#REF!,#REF!,#REF!,#REF!,F123)</f>
        <v>#REF!</v>
      </c>
      <c r="G164" s="16" t="e">
        <f>SUM(#REF!,#REF!,#REF!,#REF!,#REF!,G123)</f>
        <v>#REF!</v>
      </c>
      <c r="H164" s="16" t="e">
        <f>SUM(#REF!,#REF!,#REF!,#REF!,#REF!,H123)</f>
        <v>#REF!</v>
      </c>
      <c r="I164" s="16" t="e">
        <f>SUM(#REF!,#REF!,#REF!,#REF!,#REF!,I123)</f>
        <v>#REF!</v>
      </c>
      <c r="J164" s="16" t="e">
        <f>SUM(#REF!,#REF!,#REF!,#REF!,#REF!,J123)</f>
        <v>#REF!</v>
      </c>
      <c r="K164" s="16"/>
      <c r="L164" s="16"/>
      <c r="M164" s="16" t="e">
        <f>SUM(#REF!,F164)</f>
        <v>#REF!</v>
      </c>
    </row>
    <row r="165" spans="1:13" ht="20.25" customHeight="1" hidden="1">
      <c r="A165" s="6"/>
      <c r="B165" s="15"/>
      <c r="C165" s="24"/>
      <c r="D165" s="24"/>
      <c r="E165" s="24"/>
      <c r="F165" s="16" t="e">
        <f t="shared" si="12"/>
        <v>#REF!</v>
      </c>
      <c r="G165" s="16" t="e">
        <f>SUM(#REF!)</f>
        <v>#REF!</v>
      </c>
      <c r="H165" s="16" t="e">
        <f>SUM(#REF!)</f>
        <v>#REF!</v>
      </c>
      <c r="I165" s="16" t="e">
        <f>SUM(#REF!)</f>
        <v>#REF!</v>
      </c>
      <c r="J165" s="16" t="e">
        <f>SUM(#REF!)</f>
        <v>#REF!</v>
      </c>
      <c r="K165" s="16"/>
      <c r="L165" s="16"/>
      <c r="M165" s="16" t="e">
        <f>SUM(#REF!,F165)</f>
        <v>#REF!</v>
      </c>
    </row>
    <row r="166" spans="1:13" ht="21" customHeight="1" hidden="1">
      <c r="A166" s="6"/>
      <c r="B166" s="15"/>
      <c r="C166" s="24"/>
      <c r="D166" s="24"/>
      <c r="E166" s="24"/>
      <c r="F166" s="16" t="e">
        <f t="shared" si="12"/>
        <v>#REF!</v>
      </c>
      <c r="G166" s="16" t="e">
        <f>SUM(#REF!,#REF!)</f>
        <v>#REF!</v>
      </c>
      <c r="H166" s="16" t="e">
        <f>SUM(#REF!,#REF!)</f>
        <v>#REF!</v>
      </c>
      <c r="I166" s="16" t="e">
        <f>SUM(#REF!,#REF!)</f>
        <v>#REF!</v>
      </c>
      <c r="J166" s="16" t="e">
        <f>SUM(#REF!,#REF!)</f>
        <v>#REF!</v>
      </c>
      <c r="K166" s="16"/>
      <c r="L166" s="16"/>
      <c r="M166" s="16" t="e">
        <f>SUM(#REF!,F166)</f>
        <v>#REF!</v>
      </c>
    </row>
    <row r="167" spans="1:13" ht="24.75" customHeight="1" hidden="1">
      <c r="A167" s="6"/>
      <c r="B167" s="15"/>
      <c r="C167" s="24"/>
      <c r="D167" s="24"/>
      <c r="E167" s="24"/>
      <c r="F167" s="16" t="e">
        <f t="shared" si="12"/>
        <v>#REF!</v>
      </c>
      <c r="G167" s="16" t="e">
        <f>SUM(#REF!,#REF!)</f>
        <v>#REF!</v>
      </c>
      <c r="H167" s="16" t="e">
        <f>SUM(#REF!,#REF!)</f>
        <v>#REF!</v>
      </c>
      <c r="I167" s="16" t="e">
        <f>SUM(#REF!,#REF!)</f>
        <v>#REF!</v>
      </c>
      <c r="J167" s="16" t="e">
        <f>SUM(#REF!,#REF!)</f>
        <v>#REF!</v>
      </c>
      <c r="K167" s="16"/>
      <c r="L167" s="16"/>
      <c r="M167" s="16" t="e">
        <f>SUM(#REF!,F167)</f>
        <v>#REF!</v>
      </c>
    </row>
    <row r="168" spans="1:13" ht="24.75" customHeight="1" hidden="1">
      <c r="A168" s="6"/>
      <c r="B168" s="15"/>
      <c r="C168" s="24"/>
      <c r="D168" s="24"/>
      <c r="E168" s="24"/>
      <c r="F168" s="16">
        <f t="shared" si="12"/>
        <v>0</v>
      </c>
      <c r="G168" s="16"/>
      <c r="H168" s="16"/>
      <c r="I168" s="16"/>
      <c r="J168" s="16"/>
      <c r="K168" s="16"/>
      <c r="L168" s="16"/>
      <c r="M168" s="16" t="e">
        <f>SUM(#REF!,F168)</f>
        <v>#REF!</v>
      </c>
    </row>
    <row r="169" spans="1:13" ht="19.5" customHeight="1" hidden="1">
      <c r="A169" s="6"/>
      <c r="B169" s="15"/>
      <c r="C169" s="24"/>
      <c r="D169" s="24"/>
      <c r="E169" s="24"/>
      <c r="F169" s="16" t="e">
        <f t="shared" si="12"/>
        <v>#REF!</v>
      </c>
      <c r="G169" s="16" t="e">
        <f>SUM(G149:G167)</f>
        <v>#REF!</v>
      </c>
      <c r="H169" s="16" t="e">
        <f>SUM(H149:H167)</f>
        <v>#REF!</v>
      </c>
      <c r="I169" s="16" t="e">
        <f>SUM(I149:I167)</f>
        <v>#REF!</v>
      </c>
      <c r="J169" s="16" t="e">
        <f>SUM(J149:J167)</f>
        <v>#REF!</v>
      </c>
      <c r="K169" s="16"/>
      <c r="L169" s="16"/>
      <c r="M169" s="16" t="e">
        <f>SUM(#REF!,F169)</f>
        <v>#REF!</v>
      </c>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5" ht="12.75">
      <c r="A315" s="6"/>
      <c r="B315" s="11"/>
      <c r="C315" s="25"/>
      <c r="D315" s="25"/>
      <c r="E315" s="25"/>
    </row>
    <row r="316" spans="1:5" ht="12.75">
      <c r="A316" s="6"/>
      <c r="B316" s="11"/>
      <c r="C316" s="25"/>
      <c r="D316" s="25"/>
      <c r="E316" s="25"/>
    </row>
    <row r="317" spans="1:5" ht="12.75">
      <c r="A317" s="6"/>
      <c r="B317" s="11"/>
      <c r="C317" s="25"/>
      <c r="D317" s="25"/>
      <c r="E317" s="25"/>
    </row>
    <row r="318" spans="1:5" ht="12.75">
      <c r="A318" s="6"/>
      <c r="B318" s="11"/>
      <c r="C318" s="25"/>
      <c r="D318" s="25"/>
      <c r="E318" s="25"/>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spans="1:2" ht="12.75">
      <c r="A423" s="6"/>
      <c r="B423" s="11"/>
    </row>
    <row r="424" spans="1:2" ht="12.75">
      <c r="A424" s="6"/>
      <c r="B424" s="11"/>
    </row>
    <row r="425" spans="1:2" ht="12.75">
      <c r="A425" s="6"/>
      <c r="B425" s="11"/>
    </row>
    <row r="426" spans="1:2" ht="12.75">
      <c r="A426" s="6"/>
      <c r="B426" s="11"/>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row r="948" ht="12.75">
      <c r="A948" s="6"/>
    </row>
    <row r="949" ht="12.75">
      <c r="A949" s="6"/>
    </row>
  </sheetData>
  <sheetProtection/>
  <mergeCells count="20">
    <mergeCell ref="A9:A11"/>
    <mergeCell ref="B9:B11"/>
    <mergeCell ref="A6:M6"/>
    <mergeCell ref="F9:F11"/>
    <mergeCell ref="G9:G11"/>
    <mergeCell ref="H9:I9"/>
    <mergeCell ref="J9:J11"/>
    <mergeCell ref="M8:M11"/>
    <mergeCell ref="D9:E9"/>
    <mergeCell ref="C8:E8"/>
    <mergeCell ref="B146:C146"/>
    <mergeCell ref="C9:C11"/>
    <mergeCell ref="F8:L8"/>
    <mergeCell ref="K9:L9"/>
    <mergeCell ref="K10:K11"/>
    <mergeCell ref="H10:H11"/>
    <mergeCell ref="I10:I11"/>
    <mergeCell ref="E10:E11"/>
    <mergeCell ref="D10:D11"/>
    <mergeCell ref="G146:J146"/>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rowBreaks count="8" manualBreakCount="8">
    <brk id="36" max="13" man="1"/>
    <brk id="67" max="13" man="1"/>
    <brk id="69" max="13" man="1"/>
    <brk id="74" max="13" man="1"/>
    <brk id="85" max="13" man="1"/>
    <brk id="99" max="13" man="1"/>
    <brk id="117" max="13" man="1"/>
    <brk id="1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2012-12-07T07:47:40Z</cp:lastPrinted>
  <dcterms:created xsi:type="dcterms:W3CDTF">2002-12-20T15:22:07Z</dcterms:created>
  <dcterms:modified xsi:type="dcterms:W3CDTF">2012-12-07T07:49:38Z</dcterms:modified>
  <cp:category/>
  <cp:version/>
  <cp:contentType/>
  <cp:contentStatus/>
</cp:coreProperties>
</file>