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'Лист1'!$A$1:$N$165</definedName>
  </definedNames>
  <calcPr fullCalcOnLoad="1"/>
</workbook>
</file>

<file path=xl/sharedStrings.xml><?xml version="1.0" encoding="utf-8"?>
<sst xmlns="http://schemas.openxmlformats.org/spreadsheetml/2006/main" count="380" uniqueCount="351">
  <si>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</si>
  <si>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</si>
  <si>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</si>
  <si>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</si>
  <si>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</si>
  <si>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</si>
  <si>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</si>
  <si>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</si>
  <si>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</si>
  <si>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</si>
  <si>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</si>
  <si>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</si>
  <si>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</si>
  <si>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</si>
  <si>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</si>
  <si>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</si>
  <si>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</si>
  <si>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</si>
  <si>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</si>
  <si>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</si>
  <si>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</si>
  <si>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</si>
  <si>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</si>
  <si>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</si>
  <si>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</si>
  <si>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</si>
  <si>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</si>
  <si>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</si>
  <si>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</si>
  <si>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</si>
  <si>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</si>
  <si>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</si>
  <si>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</si>
  <si>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</si>
  <si>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</si>
  <si>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</si>
  <si>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</si>
  <si>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091103</t>
  </si>
  <si>
    <t>090802</t>
  </si>
  <si>
    <t xml:space="preserve">130000 </t>
  </si>
  <si>
    <t>Фізична культура і спорт</t>
  </si>
  <si>
    <t>210105</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</si>
  <si>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</si>
  <si>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</si>
  <si>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</si>
  <si>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</si>
  <si>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</si>
  <si>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</si>
  <si>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</si>
  <si>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</si>
  <si>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</si>
  <si>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</si>
  <si>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</si>
  <si>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</si>
  <si>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</si>
  <si>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</si>
  <si>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</si>
  <si>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</si>
  <si>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</si>
  <si>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</si>
  <si>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</si>
  <si>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</si>
  <si>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</si>
  <si>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</si>
  <si>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</si>
  <si>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</si>
  <si>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</si>
  <si>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</si>
  <si>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</si>
  <si>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</si>
  <si>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</si>
  <si>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</si>
  <si>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</si>
  <si>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</si>
  <si>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</si>
  <si>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</si>
  <si>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</si>
  <si>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</si>
  <si>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</si>
  <si>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</si>
  <si>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</si>
  <si>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</si>
  <si>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</si>
  <si>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</si>
  <si>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</si>
  <si>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у тому числі видатки за рахунок цільових субвенцій з державного бюджету</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</si>
  <si>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</si>
  <si>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</si>
  <si>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</si>
  <si>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</si>
  <si>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</si>
  <si>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</si>
  <si>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</si>
  <si>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</si>
  <si>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</si>
  <si>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</si>
  <si>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</si>
  <si>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</si>
  <si>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</si>
  <si>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</si>
  <si>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</si>
  <si>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</si>
  <si>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</si>
  <si>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</si>
  <si>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091207</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</si>
  <si>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</si>
  <si>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</si>
  <si>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</si>
  <si>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</si>
  <si>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</si>
  <si>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</si>
  <si>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</si>
  <si>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</si>
  <si>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</si>
  <si>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</si>
  <si>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</si>
  <si>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</si>
  <si>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</si>
  <si>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081002</t>
  </si>
  <si>
    <t>081006</t>
  </si>
  <si>
    <t>081007</t>
  </si>
  <si>
    <t>130201</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</si>
  <si>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</si>
  <si>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</si>
  <si>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</si>
  <si>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</si>
  <si>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Уточнений розподіл видатків районного бюджету на 2013 рік за головними розпорядниками коштів</t>
  </si>
  <si>
    <t>250353</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</si>
  <si>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</si>
  <si>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</si>
  <si>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</si>
  <si>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</si>
  <si>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</si>
  <si>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</si>
  <si>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</si>
  <si>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</si>
  <si>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</si>
  <si>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</si>
  <si>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</si>
  <si>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</si>
  <si>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</si>
  <si>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</si>
  <si>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</si>
  <si>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</si>
  <si>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</si>
  <si>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</si>
  <si>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</si>
  <si>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</si>
  <si>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</si>
  <si>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</si>
  <si>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</si>
  <si>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</si>
  <si>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</si>
  <si>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</si>
  <si>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0312801</t>
  </si>
  <si>
    <t>0312291</t>
  </si>
  <si>
    <t>0312292</t>
  </si>
  <si>
    <t>Програма і централізовані заходи боротьби з туберкульозом</t>
  </si>
  <si>
    <t>Програма і централізовані заходи з імунопрофілактики</t>
  </si>
  <si>
    <t>0313000</t>
  </si>
  <si>
    <t>Центри соціальних служб для сім"ї,дітей та молоді</t>
  </si>
  <si>
    <t>Функціонування відділення екстренної швидкої медичної допомоги</t>
  </si>
  <si>
    <t>Заходи державної політики з питань молоді</t>
  </si>
  <si>
    <t>0313140</t>
  </si>
  <si>
    <t>0313112</t>
  </si>
  <si>
    <t>0315060</t>
  </si>
  <si>
    <t>0315031</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</si>
  <si>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</si>
  <si>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0315033</t>
  </si>
  <si>
    <t>Фінансова підтримка на утримання регіональних рад фізкультурно - спортивного товариства "Колос"</t>
  </si>
  <si>
    <t>0316650</t>
  </si>
  <si>
    <t>Утримання та розвиток інфраструктури доріг</t>
  </si>
  <si>
    <t>0317810</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</si>
  <si>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</si>
  <si>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</si>
  <si>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</si>
  <si>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</si>
  <si>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</si>
  <si>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</si>
  <si>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</si>
  <si>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</si>
  <si>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</si>
  <si>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</si>
  <si>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</si>
  <si>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</si>
  <si>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</si>
  <si>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</si>
  <si>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</si>
  <si>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</si>
  <si>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</si>
  <si>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</si>
  <si>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</si>
  <si>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</si>
  <si>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</si>
  <si>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</si>
  <si>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</si>
  <si>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</si>
  <si>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</si>
  <si>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</si>
  <si>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</si>
  <si>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</si>
  <si>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</si>
  <si>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</si>
  <si>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</si>
  <si>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</si>
  <si>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</si>
  <si>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</si>
  <si>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</si>
  <si>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</si>
  <si>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</si>
  <si>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</si>
  <si>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</si>
  <si>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</si>
  <si>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</si>
  <si>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</si>
  <si>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</si>
  <si>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</si>
  <si>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</si>
  <si>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</si>
  <si>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</si>
  <si>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</si>
  <si>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</si>
  <si>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</si>
  <si>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</si>
  <si>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</si>
  <si>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</si>
  <si>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</si>
  <si>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</si>
  <si>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</si>
  <si>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</si>
  <si>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</si>
  <si>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</si>
  <si>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</si>
  <si>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</si>
  <si>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</si>
  <si>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</si>
  <si>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</si>
  <si>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</si>
  <si>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</si>
  <si>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</si>
  <si>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</si>
  <si>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</si>
  <si>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</si>
  <si>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</si>
  <si>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</si>
  <si>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</si>
  <si>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</si>
  <si>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</si>
  <si>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</si>
  <si>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</si>
  <si>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</si>
  <si>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</si>
  <si>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</si>
  <si>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</si>
  <si>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</si>
  <si>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</si>
  <si>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</si>
  <si>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</si>
  <si>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</si>
  <si>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</si>
  <si>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</si>
  <si>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</si>
  <si>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</si>
  <si>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</si>
  <si>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</si>
  <si>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</si>
  <si>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</si>
  <si>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</si>
  <si>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</si>
  <si>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</si>
  <si>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</si>
  <si>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</si>
  <si>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</si>
  <si>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</si>
  <si>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7618420</t>
  </si>
  <si>
    <t>7618430</t>
  </si>
  <si>
    <t>Централізоване ведення бухгалтерського обліку</t>
  </si>
  <si>
    <t>Субвенція на проведення видатків місцевих бюджетів,що не враховуються при визначенні обсягу міжбюджетних трансфертів</t>
  </si>
  <si>
    <t>7618801</t>
  </si>
  <si>
    <t>7618802</t>
  </si>
  <si>
    <t>7618803</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</si>
  <si>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</si>
  <si>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</si>
  <si>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</si>
  <si>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</si>
  <si>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</si>
  <si>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</si>
  <si>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</si>
  <si>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</si>
  <si>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</si>
  <si>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</si>
  <si>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</si>
  <si>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</si>
  <si>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</si>
  <si>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0315000</t>
  </si>
  <si>
    <t>1011000</t>
  </si>
  <si>
    <t>1510000</t>
  </si>
  <si>
    <t>1513104</t>
  </si>
  <si>
    <t>1513105</t>
  </si>
  <si>
    <t>1513000</t>
  </si>
  <si>
    <t>240601</t>
  </si>
  <si>
    <t>Охорона та раціональне використання природних ресурсів</t>
  </si>
  <si>
    <t>0311800</t>
  </si>
  <si>
    <t>Інші освітні програми</t>
  </si>
  <si>
    <t>0312800</t>
  </si>
  <si>
    <t>Інші заходи в галузі охорони здоров"я</t>
  </si>
  <si>
    <t>0312290</t>
  </si>
  <si>
    <t>Програми і централізовані заходи у галузі охорони здоров"я</t>
  </si>
  <si>
    <t>0313110</t>
  </si>
  <si>
    <t>Заклади і заходи з питань дітей та їх соціального захисту</t>
  </si>
  <si>
    <t>0315030</t>
  </si>
  <si>
    <t>Фінансова підтримка фізкультурно-спортивного руху</t>
  </si>
  <si>
    <t>0318600</t>
  </si>
  <si>
    <t>Інші видатки</t>
  </si>
  <si>
    <t>0319110</t>
  </si>
  <si>
    <t>0319100</t>
  </si>
  <si>
    <t>Цільові фонди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</si>
  <si>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</si>
  <si>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</si>
  <si>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</si>
  <si>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</si>
  <si>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</si>
  <si>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</si>
  <si>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</si>
  <si>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</si>
  <si>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</si>
  <si>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</si>
  <si>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</si>
  <si>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</si>
  <si>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</si>
  <si>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</si>
  <si>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</si>
  <si>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</si>
  <si>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</si>
  <si>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</si>
  <si>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</si>
  <si>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</si>
  <si>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</si>
  <si>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</si>
  <si>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</si>
  <si>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Утримання центрів "Спорт для всіх" та проведення заходів з фізичної культури</t>
  </si>
  <si>
    <t>Заходи державної політики з питань дітей та їх соціального захисту</t>
  </si>
  <si>
    <t>Видатки на запобігання та ліквідацію надзвичайних ситуацій та наслідків стихійного лиха</t>
  </si>
  <si>
    <t>7618804</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</si>
  <si>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</si>
  <si>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</si>
  <si>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</si>
  <si>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</si>
  <si>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Надання пільг та субсидій населенню на придбання твердого та рідкого пічного побутового палива і скрапленого газу</t>
  </si>
  <si>
    <t>7618805</t>
  </si>
  <si>
    <t xml:space="preserve">Субвенція з районного бюджету сільському бюджету  Плющівської сільської ради на виконання Програми розвитку земельних відносин у Баштанському районі  на 2011-2014 роки (на проведення нормативної грошової оцінки земель населених пунктів району)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</si>
</sst>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17" borderId="0" applyNumberFormat="0" applyBorder="0" applyAlignment="0" applyProtection="0"/>
  </cellStyleXfs>
  <cellXfs count="11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49" fontId="15" fillId="0" borderId="0" xfId="0" applyNumberFormat="1" applyFont="1" applyAlignment="1">
      <alignment horizontal="center" vertical="top"/>
    </xf>
    <xf numFmtId="0" fontId="15" fillId="0" borderId="0" xfId="0" applyFont="1" applyAlignment="1" applyProtection="1">
      <alignment horizontal="left" vertical="top" wrapText="1"/>
      <protection locked="0"/>
    </xf>
    <xf numFmtId="0" fontId="8" fillId="0" borderId="0" xfId="0" applyFont="1" applyAlignment="1">
      <alignment horizontal="center"/>
    </xf>
    <xf numFmtId="49" fontId="14" fillId="0" borderId="0" xfId="0" applyNumberFormat="1" applyFont="1" applyAlignment="1">
      <alignment horizontal="center" vertical="top" wrapText="1"/>
    </xf>
    <xf numFmtId="49" fontId="9" fillId="0" borderId="0" xfId="0" applyNumberFormat="1" applyFont="1" applyAlignment="1">
      <alignment horizontal="left" vertical="top" wrapText="1"/>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0" fontId="14" fillId="0" borderId="0" xfId="0" applyFont="1" applyAlignment="1" applyProtection="1">
      <alignment horizontal="left" vertical="top" wrapText="1"/>
      <protection locked="0"/>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38" fillId="0" borderId="0" xfId="0" applyFont="1" applyAlignment="1">
      <alignment horizontal="left" vertical="justify" wrapText="1"/>
    </xf>
    <xf numFmtId="174" fontId="10" fillId="0" borderId="0" xfId="0" applyNumberFormat="1" applyFont="1" applyAlignment="1">
      <alignment vertical="top"/>
    </xf>
    <xf numFmtId="0" fontId="16" fillId="0" borderId="0" xfId="0" applyFont="1" applyBorder="1" applyAlignment="1">
      <alignment vertical="top" wrapText="1"/>
    </xf>
    <xf numFmtId="174" fontId="9" fillId="0" borderId="0" xfId="0" applyNumberFormat="1" applyFont="1" applyAlignment="1" applyProtection="1">
      <alignment horizontal="left" vertical="top" wrapText="1"/>
      <protection locked="0"/>
    </xf>
    <xf numFmtId="49" fontId="9" fillId="0" borderId="17" xfId="0" applyNumberFormat="1" applyFont="1" applyBorder="1" applyAlignment="1">
      <alignment horizontal="center" vertical="center" wrapText="1"/>
    </xf>
    <xf numFmtId="0" fontId="13" fillId="0" borderId="0" xfId="0" applyFont="1" applyAlignment="1">
      <alignment horizontal="right"/>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0" fontId="13"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69"/>
  <sheetViews>
    <sheetView tabSelected="1" view="pageBreakPreview" zoomScale="75" zoomScaleNormal="60" zoomScaleSheetLayoutView="75" workbookViewId="0" topLeftCell="B1">
      <pane ySplit="5685" topLeftCell="BM158" activePane="bottomLeft" state="split"/>
      <selection pane="topLeft" activeCell="C1" sqref="C1:C16384"/>
      <selection pane="bottomLeft" activeCell="E140" sqref="E140"/>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0.3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83</v>
      </c>
      <c r="M2" s="6" t="s">
        <v>291</v>
      </c>
      <c r="N2" s="6"/>
    </row>
    <row r="3" spans="10:14" ht="15.75">
      <c r="J3" s="1" t="s">
        <v>83</v>
      </c>
      <c r="M3" s="6" t="s">
        <v>80</v>
      </c>
      <c r="N3" s="6"/>
    </row>
    <row r="4" spans="10:14" ht="15.75">
      <c r="J4" s="1" t="s">
        <v>83</v>
      </c>
      <c r="M4" s="6" t="s">
        <v>125</v>
      </c>
      <c r="N4" s="6"/>
    </row>
    <row r="5" spans="13:14" ht="15.75">
      <c r="M5" s="6"/>
      <c r="N5" s="6"/>
    </row>
    <row r="6" spans="2:14" ht="20.25">
      <c r="B6" s="112" t="s">
        <v>126</v>
      </c>
      <c r="C6" s="112"/>
      <c r="D6" s="112"/>
      <c r="E6" s="112"/>
      <c r="F6" s="112"/>
      <c r="G6" s="112"/>
      <c r="H6" s="112"/>
      <c r="I6" s="112"/>
      <c r="J6" s="112"/>
      <c r="K6" s="112"/>
      <c r="L6" s="112"/>
      <c r="M6" s="112"/>
      <c r="N6" s="112"/>
    </row>
    <row r="7" spans="2:14" ht="20.25">
      <c r="B7" s="75"/>
      <c r="C7" s="75"/>
      <c r="D7" s="75"/>
      <c r="E7" s="75"/>
      <c r="F7" s="75" t="s">
        <v>290</v>
      </c>
      <c r="G7" s="75"/>
      <c r="H7" s="75"/>
      <c r="I7" s="75"/>
      <c r="J7" s="75"/>
      <c r="K7" s="75"/>
      <c r="L7" s="75"/>
      <c r="M7" s="75"/>
      <c r="N7" s="75"/>
    </row>
    <row r="8" ht="14.25" customHeight="1" thickBot="1">
      <c r="N8" s="1" t="s">
        <v>7</v>
      </c>
    </row>
    <row r="9" spans="1:14" ht="63.75" customHeight="1">
      <c r="A9" s="107" t="s">
        <v>134</v>
      </c>
      <c r="B9" s="107" t="s">
        <v>135</v>
      </c>
      <c r="C9" s="61" t="s">
        <v>96</v>
      </c>
      <c r="D9" s="94" t="s">
        <v>25</v>
      </c>
      <c r="E9" s="95"/>
      <c r="F9" s="95"/>
      <c r="G9" s="94" t="s">
        <v>26</v>
      </c>
      <c r="H9" s="100"/>
      <c r="I9" s="100"/>
      <c r="J9" s="100"/>
      <c r="K9" s="100"/>
      <c r="L9" s="100"/>
      <c r="M9" s="101"/>
      <c r="N9" s="114" t="s">
        <v>103</v>
      </c>
    </row>
    <row r="10" spans="1:14" ht="12.75" customHeight="1">
      <c r="A10" s="108"/>
      <c r="B10" s="108"/>
      <c r="C10" s="92" t="s">
        <v>97</v>
      </c>
      <c r="D10" s="97" t="s">
        <v>3</v>
      </c>
      <c r="E10" s="104" t="s">
        <v>4</v>
      </c>
      <c r="F10" s="104"/>
      <c r="G10" s="113" t="s">
        <v>3</v>
      </c>
      <c r="H10" s="104" t="s">
        <v>27</v>
      </c>
      <c r="I10" s="104" t="s">
        <v>4</v>
      </c>
      <c r="J10" s="104"/>
      <c r="K10" s="104" t="s">
        <v>28</v>
      </c>
      <c r="L10" s="110" t="s">
        <v>100</v>
      </c>
      <c r="M10" s="111"/>
      <c r="N10" s="115"/>
    </row>
    <row r="11" spans="1:14" ht="12.75" customHeight="1">
      <c r="A11" s="108"/>
      <c r="B11" s="108"/>
      <c r="C11" s="105"/>
      <c r="D11" s="98"/>
      <c r="E11" s="102" t="s">
        <v>5</v>
      </c>
      <c r="F11" s="102" t="s">
        <v>6</v>
      </c>
      <c r="G11" s="113"/>
      <c r="H11" s="104"/>
      <c r="I11" s="102" t="s">
        <v>5</v>
      </c>
      <c r="J11" s="102" t="s">
        <v>6</v>
      </c>
      <c r="K11" s="104"/>
      <c r="L11" s="116" t="s">
        <v>101</v>
      </c>
      <c r="M11" s="48" t="s">
        <v>100</v>
      </c>
      <c r="N11" s="115"/>
    </row>
    <row r="12" spans="1:14" ht="130.5" customHeight="1">
      <c r="A12" s="108"/>
      <c r="B12" s="109"/>
      <c r="C12" s="106"/>
      <c r="D12" s="99"/>
      <c r="E12" s="103"/>
      <c r="F12" s="103"/>
      <c r="G12" s="113"/>
      <c r="H12" s="104"/>
      <c r="I12" s="103"/>
      <c r="J12" s="103"/>
      <c r="K12" s="104"/>
      <c r="L12" s="117"/>
      <c r="M12" s="48" t="s">
        <v>102</v>
      </c>
      <c r="N12" s="115"/>
    </row>
    <row r="13" spans="1:14" ht="13.5" customHeight="1" thickBot="1">
      <c r="A13" s="67">
        <v>1</v>
      </c>
      <c r="B13" s="67">
        <v>2</v>
      </c>
      <c r="C13" s="68">
        <v>2</v>
      </c>
      <c r="D13" s="2">
        <v>3</v>
      </c>
      <c r="E13" s="2">
        <v>4</v>
      </c>
      <c r="F13" s="2">
        <v>5</v>
      </c>
      <c r="G13" s="3">
        <v>6</v>
      </c>
      <c r="H13" s="3">
        <v>7</v>
      </c>
      <c r="I13" s="3">
        <v>8</v>
      </c>
      <c r="J13" s="3">
        <v>9</v>
      </c>
      <c r="K13" s="3">
        <v>10</v>
      </c>
      <c r="L13" s="24">
        <v>11</v>
      </c>
      <c r="M13" s="24">
        <v>12</v>
      </c>
      <c r="N13" s="4">
        <v>13</v>
      </c>
    </row>
    <row r="14" spans="1:14" ht="23.25" customHeight="1">
      <c r="A14" s="70" t="s">
        <v>136</v>
      </c>
      <c r="B14" s="40"/>
      <c r="C14" s="7" t="s">
        <v>30</v>
      </c>
      <c r="D14" s="6"/>
      <c r="E14" s="6"/>
      <c r="F14" s="6"/>
      <c r="N14" s="28"/>
    </row>
    <row r="15" spans="1:14" ht="23.25" customHeight="1">
      <c r="A15" s="70" t="s">
        <v>138</v>
      </c>
      <c r="B15" s="40"/>
      <c r="C15" s="7" t="s">
        <v>30</v>
      </c>
      <c r="D15" s="6"/>
      <c r="E15" s="6"/>
      <c r="F15" s="6"/>
      <c r="N15" s="28"/>
    </row>
    <row r="16" spans="1:14" ht="67.5" customHeight="1">
      <c r="A16" s="71" t="s">
        <v>137</v>
      </c>
      <c r="B16" s="41" t="s">
        <v>95</v>
      </c>
      <c r="C16" s="27" t="s">
        <v>142</v>
      </c>
      <c r="D16" s="26">
        <f>1069.5+16.199-10.372-10</f>
        <v>1065.327</v>
      </c>
      <c r="E16" s="26">
        <f>615.4-3.005</f>
        <v>612.395</v>
      </c>
      <c r="F16" s="26">
        <f>128.9-10.372-10</f>
        <v>108.528</v>
      </c>
      <c r="G16" s="26">
        <f>H16+K16</f>
        <v>4</v>
      </c>
      <c r="H16" s="26">
        <v>2</v>
      </c>
      <c r="I16" s="26"/>
      <c r="J16" s="26"/>
      <c r="K16" s="26">
        <v>2</v>
      </c>
      <c r="L16" s="26">
        <v>2</v>
      </c>
      <c r="M16" s="26">
        <v>2</v>
      </c>
      <c r="N16" s="26">
        <f>SUM(D16,G16)</f>
        <v>1069.327</v>
      </c>
    </row>
    <row r="17" spans="1:14" ht="15.75" customHeight="1">
      <c r="A17" s="70" t="s">
        <v>139</v>
      </c>
      <c r="B17" s="56" t="s">
        <v>17</v>
      </c>
      <c r="C17" s="17" t="s">
        <v>31</v>
      </c>
      <c r="D17" s="26">
        <f>D18+D19</f>
        <v>87.1</v>
      </c>
      <c r="E17" s="6"/>
      <c r="F17" s="26"/>
      <c r="G17" s="26"/>
      <c r="H17" s="26"/>
      <c r="I17" s="26"/>
      <c r="J17" s="26"/>
      <c r="K17" s="26"/>
      <c r="L17" s="26"/>
      <c r="M17" s="26"/>
      <c r="N17" s="26">
        <f>SUM(D17,G17)</f>
        <v>87.1</v>
      </c>
    </row>
    <row r="18" spans="1:14" ht="15.75" customHeight="1">
      <c r="A18" s="70" t="s">
        <v>140</v>
      </c>
      <c r="B18" s="41" t="s">
        <v>23</v>
      </c>
      <c r="C18" s="31" t="s">
        <v>141</v>
      </c>
      <c r="D18" s="26">
        <f>53.3+0.5+0.5</f>
        <v>54.3</v>
      </c>
      <c r="E18" s="6"/>
      <c r="F18" s="26"/>
      <c r="G18" s="26"/>
      <c r="H18" s="26"/>
      <c r="I18" s="26"/>
      <c r="J18" s="26"/>
      <c r="K18" s="26"/>
      <c r="L18" s="26"/>
      <c r="M18" s="26"/>
      <c r="N18" s="26">
        <f>SUM(D18,G18)</f>
        <v>54.3</v>
      </c>
    </row>
    <row r="19" spans="1:14" ht="15.75" customHeight="1">
      <c r="A19" s="70" t="s">
        <v>143</v>
      </c>
      <c r="B19" s="41" t="s">
        <v>32</v>
      </c>
      <c r="C19" s="31" t="s">
        <v>144</v>
      </c>
      <c r="D19" s="26">
        <f>10+7+2.3+30-16.5</f>
        <v>32.8</v>
      </c>
      <c r="E19" s="6"/>
      <c r="F19" s="26"/>
      <c r="G19" s="26"/>
      <c r="H19" s="26"/>
      <c r="I19" s="26"/>
      <c r="J19" s="26"/>
      <c r="K19" s="26"/>
      <c r="L19" s="26"/>
      <c r="M19" s="26"/>
      <c r="N19" s="26">
        <f>SUM(D19,G19)</f>
        <v>32.8</v>
      </c>
    </row>
    <row r="20" spans="1:14" ht="18" customHeight="1">
      <c r="A20" s="70"/>
      <c r="B20" s="42"/>
      <c r="C20" s="7" t="s">
        <v>3</v>
      </c>
      <c r="D20" s="29">
        <f>D16+D17</f>
        <v>1152.427</v>
      </c>
      <c r="E20" s="29">
        <f>E16+E17</f>
        <v>612.395</v>
      </c>
      <c r="F20" s="29">
        <f>F16+F17</f>
        <v>108.528</v>
      </c>
      <c r="G20" s="29">
        <f>H20+K20</f>
        <v>4</v>
      </c>
      <c r="H20" s="29">
        <f>H16+H17</f>
        <v>2</v>
      </c>
      <c r="I20" s="29"/>
      <c r="J20" s="29"/>
      <c r="K20" s="29">
        <f>K16+K17</f>
        <v>2</v>
      </c>
      <c r="L20" s="29">
        <f>L16+L17</f>
        <v>2</v>
      </c>
      <c r="M20" s="29">
        <f>M16+M17</f>
        <v>2</v>
      </c>
      <c r="N20" s="29">
        <f>SUM(D20,G20)</f>
        <v>1156.427</v>
      </c>
    </row>
    <row r="21" spans="1:14" s="19" customFormat="1" ht="15.75">
      <c r="A21" s="69"/>
      <c r="B21" s="42"/>
      <c r="C21" s="18"/>
      <c r="D21" s="26"/>
      <c r="E21" s="26"/>
      <c r="F21" s="26"/>
      <c r="G21" s="26"/>
      <c r="H21" s="26"/>
      <c r="I21" s="26"/>
      <c r="J21" s="26"/>
      <c r="K21" s="26"/>
      <c r="L21" s="26"/>
      <c r="M21" s="26"/>
      <c r="N21" s="26"/>
    </row>
    <row r="22" spans="1:15" s="19" customFormat="1" ht="15.75">
      <c r="A22" s="70" t="s">
        <v>145</v>
      </c>
      <c r="B22" s="40"/>
      <c r="C22" s="12" t="s">
        <v>33</v>
      </c>
      <c r="D22" s="26"/>
      <c r="E22" s="26"/>
      <c r="F22" s="26"/>
      <c r="G22" s="26"/>
      <c r="H22" s="26"/>
      <c r="I22" s="26"/>
      <c r="J22" s="26"/>
      <c r="K22" s="26"/>
      <c r="L22" s="26"/>
      <c r="M22" s="26"/>
      <c r="N22" s="26"/>
      <c r="O22" s="57"/>
    </row>
    <row r="23" spans="1:15" s="19" customFormat="1" ht="15.75">
      <c r="A23" s="70" t="s">
        <v>146</v>
      </c>
      <c r="B23" s="40"/>
      <c r="C23" s="12" t="s">
        <v>33</v>
      </c>
      <c r="D23" s="26"/>
      <c r="E23" s="26"/>
      <c r="F23" s="26"/>
      <c r="G23" s="26"/>
      <c r="H23" s="26"/>
      <c r="I23" s="26"/>
      <c r="J23" s="26"/>
      <c r="K23" s="26"/>
      <c r="L23" s="26"/>
      <c r="M23" s="26"/>
      <c r="N23" s="26"/>
      <c r="O23" s="57"/>
    </row>
    <row r="24" spans="1:15" s="19" customFormat="1" ht="15.75">
      <c r="A24" s="70" t="s">
        <v>302</v>
      </c>
      <c r="B24" s="40"/>
      <c r="C24" s="84" t="s">
        <v>303</v>
      </c>
      <c r="D24" s="26">
        <f>D25</f>
        <v>44.6</v>
      </c>
      <c r="E24" s="26"/>
      <c r="F24" s="26"/>
      <c r="G24" s="26"/>
      <c r="H24" s="26"/>
      <c r="I24" s="26"/>
      <c r="J24" s="26"/>
      <c r="K24" s="26"/>
      <c r="L24" s="26"/>
      <c r="M24" s="26"/>
      <c r="N24" s="26">
        <f aca="true" t="shared" si="0" ref="N24:N34">SUM(D24,G24)</f>
        <v>44.6</v>
      </c>
      <c r="O24" s="57"/>
    </row>
    <row r="25" spans="1:15" s="19" customFormat="1" ht="30" customHeight="1">
      <c r="A25" s="71" t="s">
        <v>147</v>
      </c>
      <c r="B25" s="41" t="s">
        <v>48</v>
      </c>
      <c r="C25" s="52" t="s">
        <v>148</v>
      </c>
      <c r="D25" s="26">
        <v>44.6</v>
      </c>
      <c r="E25" s="26"/>
      <c r="F25" s="26"/>
      <c r="G25" s="26"/>
      <c r="H25" s="26"/>
      <c r="I25" s="26"/>
      <c r="J25" s="26"/>
      <c r="K25" s="26"/>
      <c r="L25" s="26"/>
      <c r="M25" s="26"/>
      <c r="N25" s="26">
        <f t="shared" si="0"/>
        <v>44.6</v>
      </c>
      <c r="O25" s="57"/>
    </row>
    <row r="26" spans="1:15" s="19" customFormat="1" ht="15.75">
      <c r="A26" s="70" t="s">
        <v>149</v>
      </c>
      <c r="B26" s="43" t="s">
        <v>34</v>
      </c>
      <c r="C26" s="32" t="s">
        <v>130</v>
      </c>
      <c r="D26" s="29">
        <f aca="true" t="shared" si="1" ref="D26:L26">D27+D28+D30+D32+D33</f>
        <v>19113.207209999997</v>
      </c>
      <c r="E26" s="65">
        <f t="shared" si="1"/>
        <v>10632.61108</v>
      </c>
      <c r="F26" s="29">
        <f t="shared" si="1"/>
        <v>2014.98</v>
      </c>
      <c r="G26" s="29">
        <f t="shared" si="1"/>
        <v>427.9</v>
      </c>
      <c r="H26" s="29">
        <f t="shared" si="1"/>
        <v>358.4</v>
      </c>
      <c r="I26" s="29">
        <f t="shared" si="1"/>
        <v>125</v>
      </c>
      <c r="J26" s="29">
        <f t="shared" si="1"/>
        <v>0</v>
      </c>
      <c r="K26" s="29">
        <f t="shared" si="1"/>
        <v>69.5</v>
      </c>
      <c r="L26" s="29">
        <f t="shared" si="1"/>
        <v>69.5</v>
      </c>
      <c r="M26" s="29">
        <f>M27+M28+M30</f>
        <v>16.5</v>
      </c>
      <c r="N26" s="29">
        <f>SUM(D26,G26)</f>
        <v>19541.10721</v>
      </c>
      <c r="O26" s="57"/>
    </row>
    <row r="27" spans="1:15" s="19" customFormat="1" ht="17.25" customHeight="1">
      <c r="A27" s="70" t="s">
        <v>150</v>
      </c>
      <c r="B27" s="44" t="s">
        <v>35</v>
      </c>
      <c r="C27" s="72" t="s">
        <v>151</v>
      </c>
      <c r="D27" s="26">
        <f>12818.5-40+10+116.657-58.782+2.9813</f>
        <v>12849.3563</v>
      </c>
      <c r="E27" s="26">
        <f>6713.8-23.127-7.4+110</f>
        <v>6793.273</v>
      </c>
      <c r="F27" s="26">
        <f>1549.1+10-21.74-37</f>
        <v>1500.36</v>
      </c>
      <c r="G27" s="26">
        <f>H27+K27</f>
        <v>417</v>
      </c>
      <c r="H27" s="26">
        <f>350</f>
        <v>350</v>
      </c>
      <c r="I27" s="26">
        <v>125</v>
      </c>
      <c r="J27" s="26"/>
      <c r="K27" s="21">
        <v>67</v>
      </c>
      <c r="L27" s="21">
        <v>67</v>
      </c>
      <c r="M27" s="21">
        <v>14</v>
      </c>
      <c r="N27" s="26">
        <f>SUM(D27,G27)</f>
        <v>13266.3563</v>
      </c>
      <c r="O27" s="57"/>
    </row>
    <row r="28" spans="1:15" s="19" customFormat="1" ht="19.5" customHeight="1">
      <c r="A28" s="70" t="s">
        <v>152</v>
      </c>
      <c r="B28" s="44" t="s">
        <v>117</v>
      </c>
      <c r="C28" s="33" t="s">
        <v>153</v>
      </c>
      <c r="D28" s="26">
        <f>5617.8-36+10-10+11.247+18-2.5+69.5</f>
        <v>5678.0470000000005</v>
      </c>
      <c r="E28" s="26">
        <f>3528+12</f>
        <v>3540</v>
      </c>
      <c r="F28" s="26">
        <f>589.3-10-27.5-21.18-5-11</f>
        <v>514.62</v>
      </c>
      <c r="G28" s="26">
        <f>H28+K28</f>
        <v>10.9</v>
      </c>
      <c r="H28" s="26">
        <v>8.4</v>
      </c>
      <c r="I28" s="26"/>
      <c r="J28" s="26"/>
      <c r="K28" s="21">
        <v>2.5</v>
      </c>
      <c r="L28" s="21">
        <v>2.5</v>
      </c>
      <c r="M28" s="21">
        <v>2.5</v>
      </c>
      <c r="N28" s="26">
        <f t="shared" si="0"/>
        <v>5688.947</v>
      </c>
      <c r="O28" s="57"/>
    </row>
    <row r="29" spans="1:15" s="19" customFormat="1" ht="19.5" customHeight="1">
      <c r="A29" s="70" t="s">
        <v>304</v>
      </c>
      <c r="B29" s="44"/>
      <c r="C29" s="33" t="s">
        <v>305</v>
      </c>
      <c r="D29" s="60">
        <f>D30</f>
        <v>509.80391000000003</v>
      </c>
      <c r="E29" s="60">
        <f>E30</f>
        <v>299.33808</v>
      </c>
      <c r="F29" s="60">
        <f>F30</f>
        <v>0</v>
      </c>
      <c r="G29" s="26"/>
      <c r="H29" s="26"/>
      <c r="I29" s="26"/>
      <c r="J29" s="26"/>
      <c r="K29" s="21"/>
      <c r="L29" s="21"/>
      <c r="M29" s="21"/>
      <c r="N29" s="60">
        <f t="shared" si="0"/>
        <v>509.80391000000003</v>
      </c>
      <c r="O29" s="57"/>
    </row>
    <row r="30" spans="1:15" s="19" customFormat="1" ht="31.5" customHeight="1">
      <c r="A30" s="71" t="s">
        <v>154</v>
      </c>
      <c r="B30" s="59" t="s">
        <v>118</v>
      </c>
      <c r="C30" s="52" t="s">
        <v>161</v>
      </c>
      <c r="D30" s="60">
        <f>476.3+58.782-22.29679-2.9813</f>
        <v>509.80391000000003</v>
      </c>
      <c r="E30" s="60">
        <f>261.1+43.127-2.70154-2.18738</f>
        <v>299.33808</v>
      </c>
      <c r="F30" s="26">
        <f>10-10</f>
        <v>0</v>
      </c>
      <c r="G30" s="26"/>
      <c r="H30" s="26"/>
      <c r="I30" s="26"/>
      <c r="J30" s="26"/>
      <c r="K30" s="21"/>
      <c r="L30" s="21"/>
      <c r="M30" s="21"/>
      <c r="N30" s="60">
        <f t="shared" si="0"/>
        <v>509.80391000000003</v>
      </c>
      <c r="O30" s="57"/>
    </row>
    <row r="31" spans="1:15" s="19" customFormat="1" ht="31.5" customHeight="1">
      <c r="A31" s="71" t="s">
        <v>306</v>
      </c>
      <c r="B31" s="59"/>
      <c r="C31" s="52" t="s">
        <v>307</v>
      </c>
      <c r="D31" s="26">
        <f>D32+D33</f>
        <v>76</v>
      </c>
      <c r="E31" s="60"/>
      <c r="F31" s="26"/>
      <c r="G31" s="26"/>
      <c r="H31" s="26"/>
      <c r="I31" s="26"/>
      <c r="J31" s="26"/>
      <c r="K31" s="21"/>
      <c r="L31" s="21"/>
      <c r="M31" s="21"/>
      <c r="N31" s="26">
        <f t="shared" si="0"/>
        <v>76</v>
      </c>
      <c r="O31" s="57"/>
    </row>
    <row r="32" spans="1:15" s="19" customFormat="1" ht="19.5" customHeight="1">
      <c r="A32" s="70" t="s">
        <v>155</v>
      </c>
      <c r="B32" s="44" t="s">
        <v>119</v>
      </c>
      <c r="C32" s="33" t="s">
        <v>158</v>
      </c>
      <c r="D32" s="26">
        <v>36</v>
      </c>
      <c r="E32" s="26"/>
      <c r="F32" s="26"/>
      <c r="G32" s="26"/>
      <c r="H32" s="26"/>
      <c r="I32" s="26"/>
      <c r="J32" s="26"/>
      <c r="K32" s="21"/>
      <c r="L32" s="21"/>
      <c r="M32" s="21"/>
      <c r="N32" s="26">
        <f t="shared" si="0"/>
        <v>36</v>
      </c>
      <c r="O32" s="57"/>
    </row>
    <row r="33" spans="1:15" s="19" customFormat="1" ht="35.25" customHeight="1">
      <c r="A33" s="71" t="s">
        <v>156</v>
      </c>
      <c r="B33" s="59" t="s">
        <v>120</v>
      </c>
      <c r="C33" s="52" t="s">
        <v>157</v>
      </c>
      <c r="D33" s="26">
        <v>40</v>
      </c>
      <c r="E33" s="26"/>
      <c r="F33" s="26"/>
      <c r="G33" s="26"/>
      <c r="H33" s="26"/>
      <c r="I33" s="26"/>
      <c r="J33" s="26"/>
      <c r="K33" s="21"/>
      <c r="L33" s="21"/>
      <c r="M33" s="21"/>
      <c r="N33" s="26">
        <f t="shared" si="0"/>
        <v>40</v>
      </c>
      <c r="O33" s="57"/>
    </row>
    <row r="34" spans="1:15" s="19" customFormat="1" ht="15.75">
      <c r="A34" s="71" t="s">
        <v>159</v>
      </c>
      <c r="B34" s="73" t="s">
        <v>29</v>
      </c>
      <c r="C34" s="74" t="s">
        <v>8</v>
      </c>
      <c r="D34" s="29">
        <f aca="true" t="shared" si="2" ref="D34:M34">D37+D36</f>
        <v>14.1</v>
      </c>
      <c r="E34" s="29">
        <f t="shared" si="2"/>
        <v>0</v>
      </c>
      <c r="F34" s="29">
        <f t="shared" si="2"/>
        <v>0</v>
      </c>
      <c r="G34" s="29">
        <f t="shared" si="2"/>
        <v>0</v>
      </c>
      <c r="H34" s="29">
        <f t="shared" si="2"/>
        <v>0</v>
      </c>
      <c r="I34" s="29">
        <f t="shared" si="2"/>
        <v>0</v>
      </c>
      <c r="J34" s="29">
        <f t="shared" si="2"/>
        <v>0</v>
      </c>
      <c r="K34" s="29">
        <f t="shared" si="2"/>
        <v>0</v>
      </c>
      <c r="L34" s="29">
        <f t="shared" si="2"/>
        <v>0</v>
      </c>
      <c r="M34" s="29">
        <f t="shared" si="2"/>
        <v>0</v>
      </c>
      <c r="N34" s="29">
        <f t="shared" si="0"/>
        <v>14.1</v>
      </c>
      <c r="O34" s="57"/>
    </row>
    <row r="35" spans="1:15" s="19" customFormat="1" ht="36" customHeight="1">
      <c r="A35" s="71" t="s">
        <v>308</v>
      </c>
      <c r="B35" s="73"/>
      <c r="C35" s="85" t="s">
        <v>309</v>
      </c>
      <c r="D35" s="26">
        <f>D36</f>
        <v>8.1</v>
      </c>
      <c r="E35" s="29"/>
      <c r="F35" s="29"/>
      <c r="G35" s="29"/>
      <c r="H35" s="29"/>
      <c r="I35" s="29"/>
      <c r="J35" s="29"/>
      <c r="K35" s="29"/>
      <c r="L35" s="29"/>
      <c r="M35" s="29"/>
      <c r="N35" s="26">
        <f>SUM(D35,G35)</f>
        <v>8.1</v>
      </c>
      <c r="O35" s="57"/>
    </row>
    <row r="36" spans="1:15" s="19" customFormat="1" ht="36" customHeight="1">
      <c r="A36" s="71" t="s">
        <v>164</v>
      </c>
      <c r="B36" s="59" t="s">
        <v>38</v>
      </c>
      <c r="C36" s="52" t="s">
        <v>341</v>
      </c>
      <c r="D36" s="26">
        <f>5+2.9+0.2</f>
        <v>8.1</v>
      </c>
      <c r="E36" s="26"/>
      <c r="F36" s="26"/>
      <c r="G36" s="26"/>
      <c r="H36" s="26"/>
      <c r="I36" s="26"/>
      <c r="J36" s="26"/>
      <c r="K36" s="26"/>
      <c r="L36" s="26"/>
      <c r="M36" s="26"/>
      <c r="N36" s="26">
        <f>SUM(D36,G36)</f>
        <v>8.1</v>
      </c>
      <c r="O36" s="57"/>
    </row>
    <row r="37" spans="1:15" s="19" customFormat="1" ht="15.75">
      <c r="A37" s="70" t="s">
        <v>163</v>
      </c>
      <c r="B37" s="44" t="s">
        <v>37</v>
      </c>
      <c r="C37" s="33" t="s">
        <v>162</v>
      </c>
      <c r="D37" s="26">
        <v>6</v>
      </c>
      <c r="E37" s="26"/>
      <c r="F37" s="26"/>
      <c r="G37" s="26"/>
      <c r="H37" s="26"/>
      <c r="I37" s="26"/>
      <c r="J37" s="26"/>
      <c r="K37" s="26"/>
      <c r="L37" s="26"/>
      <c r="M37" s="26"/>
      <c r="N37" s="26">
        <f>SUM(D37,G37)</f>
        <v>6</v>
      </c>
      <c r="O37" s="57"/>
    </row>
    <row r="38" spans="1:15" s="19" customFormat="1" ht="6" customHeight="1">
      <c r="A38" s="70"/>
      <c r="B38" s="44"/>
      <c r="C38" s="33"/>
      <c r="D38" s="26"/>
      <c r="E38" s="26"/>
      <c r="F38" s="26"/>
      <c r="G38" s="26"/>
      <c r="H38" s="26"/>
      <c r="I38" s="26"/>
      <c r="J38" s="26"/>
      <c r="K38" s="26"/>
      <c r="L38" s="26"/>
      <c r="M38" s="26"/>
      <c r="N38" s="26"/>
      <c r="O38" s="57"/>
    </row>
    <row r="39" s="19" customFormat="1" ht="1.5" customHeight="1">
      <c r="O39" s="57"/>
    </row>
    <row r="40" spans="1:15" s="19" customFormat="1" ht="15.75" hidden="1">
      <c r="A40" s="69"/>
      <c r="B40" s="44"/>
      <c r="C40" s="33"/>
      <c r="D40" s="26"/>
      <c r="E40" s="26"/>
      <c r="F40" s="26"/>
      <c r="G40" s="26"/>
      <c r="H40" s="26"/>
      <c r="I40" s="26"/>
      <c r="J40" s="26"/>
      <c r="K40" s="26"/>
      <c r="L40" s="26"/>
      <c r="M40" s="26"/>
      <c r="N40" s="26"/>
      <c r="O40" s="57"/>
    </row>
    <row r="41" spans="1:15" s="19" customFormat="1" ht="15.75">
      <c r="A41" s="70" t="s">
        <v>294</v>
      </c>
      <c r="B41" s="43" t="s">
        <v>39</v>
      </c>
      <c r="C41" s="34" t="s">
        <v>40</v>
      </c>
      <c r="D41" s="29">
        <f>D42+D46+D45</f>
        <v>133.4</v>
      </c>
      <c r="E41" s="29"/>
      <c r="F41" s="29"/>
      <c r="G41" s="29"/>
      <c r="H41" s="29"/>
      <c r="I41" s="29"/>
      <c r="J41" s="29"/>
      <c r="K41" s="29"/>
      <c r="L41" s="29"/>
      <c r="M41" s="29"/>
      <c r="N41" s="29">
        <f>SUM(D41,G41)</f>
        <v>133.4</v>
      </c>
      <c r="O41" s="57"/>
    </row>
    <row r="42" spans="1:15" s="19" customFormat="1" ht="32.25" customHeight="1">
      <c r="A42" s="70" t="s">
        <v>165</v>
      </c>
      <c r="B42" s="44" t="s">
        <v>106</v>
      </c>
      <c r="C42" s="33" t="s">
        <v>340</v>
      </c>
      <c r="D42" s="26">
        <v>11</v>
      </c>
      <c r="E42" s="26"/>
      <c r="F42" s="26"/>
      <c r="G42" s="26"/>
      <c r="H42" s="26"/>
      <c r="I42" s="26"/>
      <c r="J42" s="26"/>
      <c r="K42" s="26"/>
      <c r="L42" s="26"/>
      <c r="M42" s="26"/>
      <c r="N42" s="26">
        <f>SUM(D42,G42)</f>
        <v>11</v>
      </c>
      <c r="O42" s="57"/>
    </row>
    <row r="43" spans="1:15" s="19" customFormat="1" ht="15.75">
      <c r="A43" s="70"/>
      <c r="B43" s="44"/>
      <c r="C43" s="33"/>
      <c r="D43" s="26"/>
      <c r="E43" s="26"/>
      <c r="F43" s="26"/>
      <c r="G43" s="26"/>
      <c r="H43" s="26"/>
      <c r="I43" s="26"/>
      <c r="J43" s="26"/>
      <c r="K43" s="26"/>
      <c r="L43" s="26"/>
      <c r="M43" s="26"/>
      <c r="N43" s="26"/>
      <c r="O43" s="57"/>
    </row>
    <row r="44" spans="1:15" s="19" customFormat="1" ht="15.75">
      <c r="A44" s="70" t="s">
        <v>310</v>
      </c>
      <c r="B44" s="44"/>
      <c r="C44" s="33" t="s">
        <v>311</v>
      </c>
      <c r="D44" s="26">
        <f>D45+D46</f>
        <v>122.4</v>
      </c>
      <c r="E44" s="26"/>
      <c r="F44" s="26"/>
      <c r="G44" s="26"/>
      <c r="H44" s="26"/>
      <c r="I44" s="26"/>
      <c r="J44" s="26"/>
      <c r="K44" s="26"/>
      <c r="L44" s="26"/>
      <c r="M44" s="26"/>
      <c r="N44" s="26">
        <f>SUM(D44,G44)</f>
        <v>122.4</v>
      </c>
      <c r="O44" s="57"/>
    </row>
    <row r="45" spans="1:15" s="19" customFormat="1" ht="49.5" customHeight="1">
      <c r="A45" s="77" t="s">
        <v>166</v>
      </c>
      <c r="B45" s="76" t="s">
        <v>121</v>
      </c>
      <c r="C45" s="33" t="s">
        <v>167</v>
      </c>
      <c r="D45" s="26">
        <v>20</v>
      </c>
      <c r="E45" s="26"/>
      <c r="F45" s="26"/>
      <c r="G45" s="26"/>
      <c r="H45" s="26"/>
      <c r="I45" s="26"/>
      <c r="J45" s="26"/>
      <c r="K45" s="26"/>
      <c r="L45" s="26"/>
      <c r="M45" s="26"/>
      <c r="N45" s="26">
        <f>SUM(D45,G45)</f>
        <v>20</v>
      </c>
      <c r="O45" s="57"/>
    </row>
    <row r="46" spans="1:15" s="19" customFormat="1" ht="31.5">
      <c r="A46" s="71" t="s">
        <v>168</v>
      </c>
      <c r="B46" s="46" t="s">
        <v>16</v>
      </c>
      <c r="C46" s="33" t="s">
        <v>169</v>
      </c>
      <c r="D46" s="26">
        <v>102.4</v>
      </c>
      <c r="E46" s="26"/>
      <c r="F46" s="26"/>
      <c r="G46" s="26"/>
      <c r="H46" s="26"/>
      <c r="I46" s="26"/>
      <c r="J46" s="26"/>
      <c r="K46" s="26"/>
      <c r="L46" s="26"/>
      <c r="M46" s="26"/>
      <c r="N46" s="26">
        <f>SUM(D46,G46)</f>
        <v>102.4</v>
      </c>
      <c r="O46" s="57"/>
    </row>
    <row r="47" spans="1:15" s="19" customFormat="1" ht="6" customHeight="1">
      <c r="A47" s="69"/>
      <c r="B47" s="46"/>
      <c r="C47" s="33"/>
      <c r="D47" s="26"/>
      <c r="E47" s="26"/>
      <c r="F47" s="26"/>
      <c r="G47" s="26"/>
      <c r="H47" s="26"/>
      <c r="I47" s="26"/>
      <c r="J47" s="26"/>
      <c r="K47" s="26"/>
      <c r="L47" s="26"/>
      <c r="M47" s="26"/>
      <c r="N47" s="26"/>
      <c r="O47" s="57"/>
    </row>
    <row r="48" spans="1:15" s="19" customFormat="1" ht="22.5" customHeight="1">
      <c r="A48" s="71" t="s">
        <v>170</v>
      </c>
      <c r="B48" s="46" t="s">
        <v>116</v>
      </c>
      <c r="C48" s="37" t="s">
        <v>171</v>
      </c>
      <c r="D48" s="26"/>
      <c r="E48" s="26"/>
      <c r="F48" s="26"/>
      <c r="G48" s="26">
        <f>H48+K48</f>
        <v>500.86199999999997</v>
      </c>
      <c r="H48" s="26">
        <f>127+39.999</f>
        <v>166.999</v>
      </c>
      <c r="I48" s="26"/>
      <c r="J48" s="26"/>
      <c r="K48" s="26">
        <f>269.9+63.963</f>
        <v>333.863</v>
      </c>
      <c r="L48" s="26"/>
      <c r="M48" s="26"/>
      <c r="N48" s="26">
        <f>SUM(D48,G48)</f>
        <v>500.86199999999997</v>
      </c>
      <c r="O48" s="57"/>
    </row>
    <row r="49" spans="1:15" s="19" customFormat="1" ht="37.5" customHeight="1">
      <c r="A49" s="71" t="s">
        <v>172</v>
      </c>
      <c r="B49" s="83" t="s">
        <v>41</v>
      </c>
      <c r="C49" s="85" t="s">
        <v>342</v>
      </c>
      <c r="D49" s="26">
        <f>25.759+2.147</f>
        <v>27.906</v>
      </c>
      <c r="E49" s="26"/>
      <c r="F49" s="26"/>
      <c r="G49" s="26"/>
      <c r="H49" s="26"/>
      <c r="I49" s="26"/>
      <c r="J49" s="26"/>
      <c r="K49" s="26"/>
      <c r="L49" s="26"/>
      <c r="M49" s="26"/>
      <c r="N49" s="26">
        <f>SUM(D49,G49)</f>
        <v>27.906</v>
      </c>
      <c r="O49" s="57"/>
    </row>
    <row r="50" spans="1:15" s="19" customFormat="1" ht="15.75">
      <c r="A50" s="71"/>
      <c r="B50" s="45"/>
      <c r="C50" s="35"/>
      <c r="D50" s="29"/>
      <c r="E50" s="26"/>
      <c r="F50" s="26"/>
      <c r="G50" s="26"/>
      <c r="H50" s="26"/>
      <c r="I50" s="26"/>
      <c r="J50" s="26"/>
      <c r="K50" s="26"/>
      <c r="L50" s="26"/>
      <c r="M50" s="26"/>
      <c r="N50" s="26"/>
      <c r="O50" s="57"/>
    </row>
    <row r="51" spans="1:15" s="19" customFormat="1" ht="15.75">
      <c r="A51" s="71" t="s">
        <v>315</v>
      </c>
      <c r="B51" s="45"/>
      <c r="C51" s="35" t="s">
        <v>316</v>
      </c>
      <c r="D51" s="29"/>
      <c r="E51" s="26"/>
      <c r="F51" s="26"/>
      <c r="G51" s="26">
        <f>G52</f>
        <v>39.1</v>
      </c>
      <c r="H51" s="26">
        <f>H52</f>
        <v>39.1</v>
      </c>
      <c r="I51" s="26"/>
      <c r="J51" s="26"/>
      <c r="K51" s="26"/>
      <c r="L51" s="26"/>
      <c r="M51" s="26"/>
      <c r="N51" s="26">
        <f>SUM(D51,G51)</f>
        <v>39.1</v>
      </c>
      <c r="O51" s="57"/>
    </row>
    <row r="52" spans="1:15" s="19" customFormat="1" ht="31.5">
      <c r="A52" s="71" t="s">
        <v>314</v>
      </c>
      <c r="B52" s="83" t="s">
        <v>300</v>
      </c>
      <c r="C52" s="52" t="s">
        <v>301</v>
      </c>
      <c r="D52" s="29"/>
      <c r="E52" s="26"/>
      <c r="F52" s="26"/>
      <c r="G52" s="26">
        <f>H52+K52</f>
        <v>39.1</v>
      </c>
      <c r="H52" s="26">
        <v>39.1</v>
      </c>
      <c r="I52" s="26"/>
      <c r="J52" s="26"/>
      <c r="K52" s="26"/>
      <c r="L52" s="26"/>
      <c r="M52" s="26"/>
      <c r="N52" s="26">
        <f>SUM(D52,G52)</f>
        <v>39.1</v>
      </c>
      <c r="O52" s="57"/>
    </row>
    <row r="53" spans="1:15" s="19" customFormat="1" ht="15.75">
      <c r="A53" s="71" t="s">
        <v>312</v>
      </c>
      <c r="B53" s="83"/>
      <c r="C53" s="52" t="s">
        <v>313</v>
      </c>
      <c r="D53" s="26">
        <f>D54</f>
        <v>152</v>
      </c>
      <c r="E53" s="26"/>
      <c r="F53" s="26"/>
      <c r="G53" s="26"/>
      <c r="H53" s="26"/>
      <c r="I53" s="26"/>
      <c r="J53" s="26"/>
      <c r="K53" s="26"/>
      <c r="L53" s="26"/>
      <c r="M53" s="26"/>
      <c r="N53" s="26">
        <f>SUM(D53,G53)</f>
        <v>152</v>
      </c>
      <c r="O53" s="57"/>
    </row>
    <row r="54" spans="1:15" s="19" customFormat="1" ht="33" customHeight="1">
      <c r="A54" s="71" t="s">
        <v>173</v>
      </c>
      <c r="B54" s="46" t="s">
        <v>20</v>
      </c>
      <c r="C54" s="36" t="s">
        <v>81</v>
      </c>
      <c r="D54" s="26">
        <v>152</v>
      </c>
      <c r="E54" s="51"/>
      <c r="F54" s="26"/>
      <c r="G54" s="26"/>
      <c r="H54" s="26"/>
      <c r="I54" s="26"/>
      <c r="J54" s="26"/>
      <c r="K54" s="26"/>
      <c r="L54" s="26"/>
      <c r="M54" s="26"/>
      <c r="N54" s="26">
        <f>SUM(D54,G54)</f>
        <v>152</v>
      </c>
      <c r="O54" s="57"/>
    </row>
    <row r="55" spans="1:15" ht="15.75">
      <c r="A55" s="71"/>
      <c r="B55" s="42"/>
      <c r="C55" s="12" t="s">
        <v>9</v>
      </c>
      <c r="D55" s="65">
        <f>D26+D34+D41+D49+D54+D25</f>
        <v>19485.213209999994</v>
      </c>
      <c r="E55" s="65">
        <f>E26+E34+E41+E49+E54</f>
        <v>10632.61108</v>
      </c>
      <c r="F55" s="29">
        <f>F26+F34+F41+F49+F54</f>
        <v>2014.98</v>
      </c>
      <c r="G55" s="29">
        <f>G26+G34+G41+G49+G54+G48+G52</f>
        <v>967.862</v>
      </c>
      <c r="H55" s="29">
        <f>H26+H34+H41+H49+H54+H48+H52</f>
        <v>564.499</v>
      </c>
      <c r="I55" s="29">
        <f>I26+I34+I41+I49+I54</f>
        <v>125</v>
      </c>
      <c r="J55" s="29">
        <f>J26+J34+J41+J49+J54</f>
        <v>0</v>
      </c>
      <c r="K55" s="29">
        <f>K26+K34+K41+K49+K54+K48</f>
        <v>403.363</v>
      </c>
      <c r="L55" s="29">
        <f>L26+L34+L41+L49+L54+L48</f>
        <v>69.5</v>
      </c>
      <c r="M55" s="29">
        <f>M26+M34+M41+M49+M54+M48</f>
        <v>16.5</v>
      </c>
      <c r="N55" s="65">
        <f>D55+K60</f>
        <v>19485.213209999994</v>
      </c>
      <c r="O55" s="23"/>
    </row>
    <row r="56" spans="1:15" ht="15.75">
      <c r="A56" s="71" t="s">
        <v>282</v>
      </c>
      <c r="B56" s="41"/>
      <c r="C56" s="20" t="s">
        <v>131</v>
      </c>
      <c r="D56" s="26"/>
      <c r="E56" s="26"/>
      <c r="F56" s="26"/>
      <c r="G56" s="26"/>
      <c r="H56" s="26"/>
      <c r="I56" s="26"/>
      <c r="J56" s="26"/>
      <c r="K56" s="26"/>
      <c r="L56" s="26"/>
      <c r="M56" s="26"/>
      <c r="N56" s="26"/>
      <c r="O56" s="23"/>
    </row>
    <row r="57" spans="1:15" ht="15.75">
      <c r="A57" s="71" t="s">
        <v>283</v>
      </c>
      <c r="B57" s="41"/>
      <c r="C57" s="20" t="s">
        <v>131</v>
      </c>
      <c r="D57" s="26"/>
      <c r="E57" s="26"/>
      <c r="F57" s="26"/>
      <c r="G57" s="26"/>
      <c r="H57" s="26"/>
      <c r="I57" s="26"/>
      <c r="J57" s="26"/>
      <c r="K57" s="26"/>
      <c r="L57" s="26"/>
      <c r="M57" s="26"/>
      <c r="N57" s="26"/>
      <c r="O57" s="23"/>
    </row>
    <row r="58" spans="1:15" ht="15.75">
      <c r="A58" s="71" t="s">
        <v>295</v>
      </c>
      <c r="B58" s="47" t="s">
        <v>42</v>
      </c>
      <c r="C58" s="7" t="s">
        <v>10</v>
      </c>
      <c r="D58" s="29">
        <f>D59+D60+D61+D62+D63+D65+D67+D66</f>
        <v>48546.744999999995</v>
      </c>
      <c r="E58" s="29">
        <f aca="true" t="shared" si="3" ref="E58:M58">E59+E60+E61+E62+E63+E65+E67+E66</f>
        <v>29146.238</v>
      </c>
      <c r="F58" s="29">
        <f t="shared" si="3"/>
        <v>5262.475</v>
      </c>
      <c r="G58" s="29">
        <f t="shared" si="3"/>
        <v>545.1949999999999</v>
      </c>
      <c r="H58" s="29">
        <f t="shared" si="3"/>
        <v>20.2</v>
      </c>
      <c r="I58" s="29">
        <f t="shared" si="3"/>
        <v>0</v>
      </c>
      <c r="J58" s="29">
        <f t="shared" si="3"/>
        <v>0</v>
      </c>
      <c r="K58" s="29">
        <f>K59+K60+K61+K62+K63+K65+K67+K66</f>
        <v>524.9949999999999</v>
      </c>
      <c r="L58" s="29">
        <f t="shared" si="3"/>
        <v>524.9949999999999</v>
      </c>
      <c r="M58" s="29">
        <f t="shared" si="3"/>
        <v>351.385</v>
      </c>
      <c r="N58" s="29">
        <f>SUM(D58,G58)</f>
        <v>49091.939999999995</v>
      </c>
      <c r="O58" s="23"/>
    </row>
    <row r="59" spans="1:15" ht="63">
      <c r="A59" s="71" t="s">
        <v>174</v>
      </c>
      <c r="B59" s="59" t="s">
        <v>43</v>
      </c>
      <c r="C59" s="52" t="s">
        <v>175</v>
      </c>
      <c r="D59" s="26">
        <f>40385.052+232.306+1+155.395+3+2.5+125.1-128.7+29.772-10.372+2607.5-111.5+103.4</f>
        <v>43394.452999999994</v>
      </c>
      <c r="E59" s="26">
        <f>24198.788+114.59+92+30+21.871+1918-7.621+75</f>
        <v>26442.628</v>
      </c>
      <c r="F59" s="26">
        <f>5247.5-230.625-100.5</f>
        <v>4916.375</v>
      </c>
      <c r="G59" s="26">
        <f>H59+K59</f>
        <v>488.19499999999994</v>
      </c>
      <c r="H59" s="26">
        <v>5.2</v>
      </c>
      <c r="I59" s="26"/>
      <c r="J59" s="26"/>
      <c r="K59" s="26">
        <f>24.6+210.295+144+128.7-24.6</f>
        <v>482.99499999999995</v>
      </c>
      <c r="L59" s="26">
        <f>24.6+210.295+144+128.7-24.6</f>
        <v>482.99499999999995</v>
      </c>
      <c r="M59" s="26">
        <f>45.295+135.39+128.7</f>
        <v>309.385</v>
      </c>
      <c r="N59" s="26">
        <f aca="true" t="shared" si="4" ref="N59:N69">SUM(D59,G59)</f>
        <v>43882.647999999994</v>
      </c>
      <c r="O59" s="23"/>
    </row>
    <row r="60" spans="1:15" ht="52.5" customHeight="1">
      <c r="A60" s="71" t="s">
        <v>176</v>
      </c>
      <c r="B60" s="46" t="s">
        <v>44</v>
      </c>
      <c r="C60" s="36" t="s">
        <v>177</v>
      </c>
      <c r="D60" s="26">
        <f>1928.675+11.719-176.6+2+21-1+1-19.4-44+29.43</f>
        <v>1752.824</v>
      </c>
      <c r="E60" s="26">
        <f>1174.7-130.15-5</f>
        <v>1039.55</v>
      </c>
      <c r="F60" s="26">
        <f>205.7-29.4-38</f>
        <v>138.29999999999998</v>
      </c>
      <c r="G60" s="26">
        <f>H60+K60</f>
        <v>15</v>
      </c>
      <c r="H60" s="26">
        <v>15</v>
      </c>
      <c r="I60" s="26"/>
      <c r="J60" s="26"/>
      <c r="K60" s="26"/>
      <c r="L60" s="26"/>
      <c r="M60" s="26"/>
      <c r="N60" s="26">
        <f t="shared" si="4"/>
        <v>1767.824</v>
      </c>
      <c r="O60" s="23"/>
    </row>
    <row r="61" spans="1:15" ht="35.25" customHeight="1">
      <c r="A61" s="71" t="s">
        <v>178</v>
      </c>
      <c r="B61" s="59" t="s">
        <v>45</v>
      </c>
      <c r="C61" s="79" t="s">
        <v>179</v>
      </c>
      <c r="D61" s="26">
        <f>541.537+9.37+12</f>
        <v>562.907</v>
      </c>
      <c r="E61" s="26">
        <f>366.1+11.6</f>
        <v>377.70000000000005</v>
      </c>
      <c r="F61" s="26">
        <v>35.1</v>
      </c>
      <c r="G61" s="26"/>
      <c r="H61" s="26"/>
      <c r="I61" s="26"/>
      <c r="J61" s="26"/>
      <c r="K61" s="26"/>
      <c r="L61" s="26"/>
      <c r="M61" s="26"/>
      <c r="N61" s="26">
        <f t="shared" si="4"/>
        <v>562.907</v>
      </c>
      <c r="O61" s="23"/>
    </row>
    <row r="62" spans="1:15" ht="15.75">
      <c r="A62" s="71" t="s">
        <v>180</v>
      </c>
      <c r="B62" s="46" t="s">
        <v>46</v>
      </c>
      <c r="C62" s="33" t="s">
        <v>181</v>
      </c>
      <c r="D62" s="26">
        <v>624.633</v>
      </c>
      <c r="E62" s="26">
        <v>409</v>
      </c>
      <c r="F62" s="26">
        <v>52</v>
      </c>
      <c r="G62" s="26"/>
      <c r="H62" s="26"/>
      <c r="I62" s="26"/>
      <c r="J62" s="26"/>
      <c r="K62" s="26"/>
      <c r="L62" s="26"/>
      <c r="M62" s="26"/>
      <c r="N62" s="26">
        <f t="shared" si="4"/>
        <v>624.633</v>
      </c>
      <c r="O62" s="23"/>
    </row>
    <row r="63" spans="1:15" ht="33" customHeight="1">
      <c r="A63" s="71" t="s">
        <v>182</v>
      </c>
      <c r="B63" s="59" t="s">
        <v>47</v>
      </c>
      <c r="C63" s="33" t="s">
        <v>183</v>
      </c>
      <c r="D63" s="26">
        <v>491.728</v>
      </c>
      <c r="E63" s="26">
        <v>319.66</v>
      </c>
      <c r="F63" s="26"/>
      <c r="G63" s="26"/>
      <c r="H63" s="26"/>
      <c r="I63" s="26"/>
      <c r="J63" s="26"/>
      <c r="K63" s="26"/>
      <c r="L63" s="26"/>
      <c r="M63" s="26"/>
      <c r="N63" s="26">
        <f t="shared" si="4"/>
        <v>491.728</v>
      </c>
      <c r="O63" s="23"/>
    </row>
    <row r="64" spans="1:15" ht="21" customHeight="1">
      <c r="A64" s="71" t="s">
        <v>317</v>
      </c>
      <c r="B64" s="59"/>
      <c r="C64" s="52" t="s">
        <v>303</v>
      </c>
      <c r="D64" s="49">
        <f>D65</f>
        <v>777.619</v>
      </c>
      <c r="E64" s="49"/>
      <c r="F64" s="49"/>
      <c r="G64" s="49">
        <f>G65</f>
        <v>42</v>
      </c>
      <c r="H64" s="49"/>
      <c r="I64" s="49"/>
      <c r="J64" s="49"/>
      <c r="K64" s="49">
        <f>K65</f>
        <v>42</v>
      </c>
      <c r="L64" s="49">
        <f>L65</f>
        <v>42</v>
      </c>
      <c r="M64" s="49">
        <f>M65</f>
        <v>42</v>
      </c>
      <c r="N64" s="26">
        <f t="shared" si="4"/>
        <v>819.619</v>
      </c>
      <c r="O64" s="86"/>
    </row>
    <row r="65" spans="1:15" ht="25.5" customHeight="1">
      <c r="A65" s="71" t="s">
        <v>184</v>
      </c>
      <c r="B65" s="59" t="s">
        <v>48</v>
      </c>
      <c r="C65" s="87" t="s">
        <v>281</v>
      </c>
      <c r="D65" s="49">
        <f>640.2+73.549+17+17.8+29.07</f>
        <v>777.619</v>
      </c>
      <c r="E65" s="49"/>
      <c r="F65" s="49"/>
      <c r="G65" s="49">
        <f>H65+K65</f>
        <v>42</v>
      </c>
      <c r="H65" s="49"/>
      <c r="I65" s="49"/>
      <c r="J65" s="49"/>
      <c r="K65" s="49">
        <v>42</v>
      </c>
      <c r="L65" s="49">
        <v>42</v>
      </c>
      <c r="M65" s="49">
        <v>42</v>
      </c>
      <c r="N65" s="49">
        <f t="shared" si="4"/>
        <v>819.619</v>
      </c>
      <c r="O65" s="86"/>
    </row>
    <row r="66" spans="1:15" ht="15.75">
      <c r="A66" s="71" t="s">
        <v>185</v>
      </c>
      <c r="B66" s="59" t="s">
        <v>115</v>
      </c>
      <c r="C66" s="87" t="s">
        <v>186</v>
      </c>
      <c r="D66" s="49">
        <f>918.464+1.517+1116.361-26.4+20-1116.361</f>
        <v>913.5809999999999</v>
      </c>
      <c r="E66" s="49">
        <f>557.7+728.66-728.66</f>
        <v>557.7000000000002</v>
      </c>
      <c r="F66" s="49">
        <f>138.7+52-18-52</f>
        <v>120.69999999999999</v>
      </c>
      <c r="G66" s="49"/>
      <c r="H66" s="49"/>
      <c r="I66" s="49"/>
      <c r="J66" s="49"/>
      <c r="K66" s="49"/>
      <c r="L66" s="49"/>
      <c r="M66" s="49"/>
      <c r="N66" s="49">
        <f t="shared" si="4"/>
        <v>913.5809999999999</v>
      </c>
      <c r="O66" s="86"/>
    </row>
    <row r="67" spans="1:15" ht="36" customHeight="1">
      <c r="A67" s="71" t="s">
        <v>187</v>
      </c>
      <c r="B67" s="59" t="s">
        <v>49</v>
      </c>
      <c r="C67" s="52" t="s">
        <v>188</v>
      </c>
      <c r="D67" s="26">
        <v>29</v>
      </c>
      <c r="E67" s="26"/>
      <c r="F67" s="26"/>
      <c r="G67" s="26"/>
      <c r="H67" s="26"/>
      <c r="I67" s="26"/>
      <c r="J67" s="26"/>
      <c r="K67" s="26"/>
      <c r="L67" s="26"/>
      <c r="M67" s="26"/>
      <c r="N67" s="26">
        <f t="shared" si="4"/>
        <v>29</v>
      </c>
      <c r="O67" s="23"/>
    </row>
    <row r="68" spans="1:15" ht="26.25" customHeight="1">
      <c r="A68" s="71" t="s">
        <v>318</v>
      </c>
      <c r="B68" s="59"/>
      <c r="C68" s="52" t="s">
        <v>319</v>
      </c>
      <c r="D68" s="26">
        <f>D69</f>
        <v>918.224</v>
      </c>
      <c r="E68" s="26">
        <f>E69</f>
        <v>592.1</v>
      </c>
      <c r="F68" s="26">
        <f>F69</f>
        <v>91.6</v>
      </c>
      <c r="G68" s="26"/>
      <c r="H68" s="26"/>
      <c r="I68" s="26"/>
      <c r="J68" s="26"/>
      <c r="K68" s="26"/>
      <c r="L68" s="26"/>
      <c r="M68" s="26"/>
      <c r="N68" s="26">
        <f t="shared" si="4"/>
        <v>918.224</v>
      </c>
      <c r="O68" s="23"/>
    </row>
    <row r="69" spans="1:15" ht="32.25" customHeight="1">
      <c r="A69" s="71" t="s">
        <v>189</v>
      </c>
      <c r="B69" s="59" t="s">
        <v>15</v>
      </c>
      <c r="C69" s="33" t="s">
        <v>190</v>
      </c>
      <c r="D69" s="26">
        <f>941.6+3.624-15-12</f>
        <v>918.224</v>
      </c>
      <c r="E69" s="26">
        <f>599.1-7</f>
        <v>592.1</v>
      </c>
      <c r="F69" s="26">
        <f>106.6-12-3</f>
        <v>91.6</v>
      </c>
      <c r="G69" s="26"/>
      <c r="H69" s="26"/>
      <c r="I69" s="26"/>
      <c r="J69" s="26"/>
      <c r="K69" s="26"/>
      <c r="L69" s="26"/>
      <c r="M69" s="26"/>
      <c r="N69" s="26">
        <f t="shared" si="4"/>
        <v>918.224</v>
      </c>
      <c r="O69" s="23"/>
    </row>
    <row r="70" spans="1:15" ht="21" customHeight="1">
      <c r="A70" s="71"/>
      <c r="B70" s="41"/>
      <c r="C70" s="7" t="s">
        <v>9</v>
      </c>
      <c r="D70" s="29">
        <f>D58+D69</f>
        <v>49464.969</v>
      </c>
      <c r="E70" s="29">
        <f>E58+E69</f>
        <v>29738.338</v>
      </c>
      <c r="F70" s="29">
        <f>F58+F69</f>
        <v>5354.075000000001</v>
      </c>
      <c r="G70" s="29">
        <f>H70+K70</f>
        <v>545.1949999999999</v>
      </c>
      <c r="H70" s="29">
        <f>H58+H69</f>
        <v>20.2</v>
      </c>
      <c r="I70" s="21"/>
      <c r="J70" s="21"/>
      <c r="K70" s="29">
        <f>K58+K69</f>
        <v>524.9949999999999</v>
      </c>
      <c r="L70" s="29">
        <f>L58+L69</f>
        <v>524.9949999999999</v>
      </c>
      <c r="M70" s="29">
        <f>M58+M69</f>
        <v>351.385</v>
      </c>
      <c r="N70" s="29">
        <f>SUM(D70,G70)</f>
        <v>50010.164</v>
      </c>
      <c r="O70" s="23"/>
    </row>
    <row r="71" spans="1:15" ht="35.25" customHeight="1">
      <c r="A71" s="71" t="s">
        <v>284</v>
      </c>
      <c r="B71" s="41"/>
      <c r="C71" s="16" t="s">
        <v>132</v>
      </c>
      <c r="D71" s="26"/>
      <c r="E71" s="26"/>
      <c r="F71" s="26"/>
      <c r="G71" s="26"/>
      <c r="H71" s="26"/>
      <c r="I71" s="26"/>
      <c r="J71" s="26"/>
      <c r="K71" s="26"/>
      <c r="L71" s="26"/>
      <c r="M71" s="26"/>
      <c r="N71" s="26"/>
      <c r="O71" s="23"/>
    </row>
    <row r="72" spans="1:15" ht="35.25" customHeight="1">
      <c r="A72" s="71" t="s">
        <v>296</v>
      </c>
      <c r="B72" s="41"/>
      <c r="C72" s="16" t="s">
        <v>132</v>
      </c>
      <c r="D72" s="26"/>
      <c r="E72" s="26"/>
      <c r="F72" s="26"/>
      <c r="G72" s="26"/>
      <c r="H72" s="26"/>
      <c r="I72" s="26"/>
      <c r="J72" s="26"/>
      <c r="K72" s="26"/>
      <c r="L72" s="26"/>
      <c r="M72" s="26"/>
      <c r="N72" s="26"/>
      <c r="O72" s="23"/>
    </row>
    <row r="73" spans="1:15" ht="15.75">
      <c r="A73" s="71" t="s">
        <v>299</v>
      </c>
      <c r="B73" s="56" t="s">
        <v>29</v>
      </c>
      <c r="C73" s="7" t="s">
        <v>8</v>
      </c>
      <c r="D73" s="29">
        <f>D75+D76+D78+D79+D80+D81+D83+D84+D86+D87+D88+D89+D91+D92+D93+D97+D98+D99+D100+D101+D102+D103+D104+D105+D106+D107+D108+D110+D111+D113+D115+D117+D118+D119+D121+D123+D124+D126</f>
        <v>59788.497</v>
      </c>
      <c r="E73" s="29">
        <f aca="true" t="shared" si="5" ref="E73:M73">E75+E76+E78+E79+E80+E81+E83+E84+E86+E87+E88+E89+E91+E92+E93+E97+E98+E99+E100+E101+E102+E103+E104+E105+E106+E107+E108+E110+E111+E113+E115+E117+E118+E119+E121+E123+E124+E126</f>
        <v>2619.448</v>
      </c>
      <c r="F73" s="29">
        <f t="shared" si="5"/>
        <v>148.96699999999998</v>
      </c>
      <c r="G73" s="29">
        <f>H73+K73</f>
        <v>211.21</v>
      </c>
      <c r="H73" s="29">
        <f>H75+H76+H78+H79+H80+H81+H83+H84+H86+H87+H88+H89+H91+H92+H93+H97+H98+H99+H100+H101+H102+H103+H104+H105+H106+H107+H108+H110+H111+H113+H115+H117+H118+H119+H121+H123+H124+H126</f>
        <v>160</v>
      </c>
      <c r="I73" s="29">
        <f t="shared" si="5"/>
        <v>12.5</v>
      </c>
      <c r="J73" s="29">
        <f t="shared" si="5"/>
        <v>0</v>
      </c>
      <c r="K73" s="29">
        <f t="shared" si="5"/>
        <v>51.21</v>
      </c>
      <c r="L73" s="29">
        <f t="shared" si="5"/>
        <v>51.21</v>
      </c>
      <c r="M73" s="29">
        <f t="shared" si="5"/>
        <v>51.21</v>
      </c>
      <c r="N73" s="29">
        <f>SUM(D73,G73)</f>
        <v>59999.707</v>
      </c>
      <c r="O73" s="23"/>
    </row>
    <row r="74" spans="1:15" ht="63">
      <c r="A74" s="71" t="s">
        <v>324</v>
      </c>
      <c r="B74" s="56"/>
      <c r="C74" s="8" t="s">
        <v>325</v>
      </c>
      <c r="D74" s="26">
        <f>D75+D76+D78+D79+D80+D81</f>
        <v>3387.9000000000005</v>
      </c>
      <c r="E74" s="29"/>
      <c r="F74" s="29"/>
      <c r="G74" s="29"/>
      <c r="H74" s="29"/>
      <c r="I74" s="29"/>
      <c r="J74" s="29"/>
      <c r="K74" s="29"/>
      <c r="L74" s="29"/>
      <c r="M74" s="29"/>
      <c r="N74" s="26">
        <f>SUM(D74,G74)</f>
        <v>3387.9000000000005</v>
      </c>
      <c r="O74" s="23"/>
    </row>
    <row r="75" spans="1:15" ht="216.75" customHeight="1">
      <c r="A75" s="71" t="s">
        <v>191</v>
      </c>
      <c r="B75" s="41" t="s">
        <v>50</v>
      </c>
      <c r="C75" s="17" t="s">
        <v>192</v>
      </c>
      <c r="D75" s="26">
        <f>2012-49.727+40</f>
        <v>2002.273</v>
      </c>
      <c r="E75" s="26"/>
      <c r="F75" s="26"/>
      <c r="G75" s="21"/>
      <c r="H75" s="26"/>
      <c r="I75" s="26"/>
      <c r="J75" s="26"/>
      <c r="K75" s="26"/>
      <c r="L75" s="26"/>
      <c r="M75" s="26"/>
      <c r="N75" s="26">
        <f>SUM(D75,G75)</f>
        <v>2002.273</v>
      </c>
      <c r="O75" s="23"/>
    </row>
    <row r="76" spans="1:15" ht="348.75" customHeight="1">
      <c r="A76" s="71" t="s">
        <v>195</v>
      </c>
      <c r="B76" s="41" t="s">
        <v>53</v>
      </c>
      <c r="C76" s="17" t="s">
        <v>92</v>
      </c>
      <c r="D76" s="26">
        <f>122+1.975</f>
        <v>123.975</v>
      </c>
      <c r="E76" s="26"/>
      <c r="F76" s="26"/>
      <c r="G76" s="21"/>
      <c r="H76" s="26"/>
      <c r="I76" s="26"/>
      <c r="J76" s="26"/>
      <c r="K76" s="26"/>
      <c r="L76" s="26"/>
      <c r="M76" s="26"/>
      <c r="N76" s="26">
        <f>G76+D76</f>
        <v>123.975</v>
      </c>
      <c r="O76" s="23"/>
    </row>
    <row r="77" spans="1:15" ht="285.75" customHeight="1">
      <c r="A77" s="71"/>
      <c r="B77" s="41"/>
      <c r="C77" s="39" t="s">
        <v>194</v>
      </c>
      <c r="D77" s="26"/>
      <c r="E77" s="26"/>
      <c r="F77" s="26"/>
      <c r="G77" s="21"/>
      <c r="H77" s="26"/>
      <c r="I77" s="26"/>
      <c r="J77" s="26"/>
      <c r="K77" s="26"/>
      <c r="L77" s="26"/>
      <c r="M77" s="26"/>
      <c r="N77" s="26"/>
      <c r="O77" s="23"/>
    </row>
    <row r="78" spans="1:15" ht="87" customHeight="1">
      <c r="A78" s="71" t="s">
        <v>202</v>
      </c>
      <c r="B78" s="41" t="s">
        <v>55</v>
      </c>
      <c r="C78" s="17" t="s">
        <v>203</v>
      </c>
      <c r="D78" s="26">
        <f>49-2.5</f>
        <v>46.5</v>
      </c>
      <c r="E78" s="26"/>
      <c r="F78" s="26"/>
      <c r="G78" s="21"/>
      <c r="H78" s="26"/>
      <c r="I78" s="26"/>
      <c r="J78" s="26"/>
      <c r="K78" s="26"/>
      <c r="L78" s="26"/>
      <c r="M78" s="26"/>
      <c r="N78" s="26">
        <f aca="true" t="shared" si="6" ref="N78:N84">SUM(D78,G78)</f>
        <v>46.5</v>
      </c>
      <c r="O78" s="23"/>
    </row>
    <row r="79" spans="1:15" ht="183" customHeight="1">
      <c r="A79" s="71" t="s">
        <v>208</v>
      </c>
      <c r="B79" s="41" t="s">
        <v>58</v>
      </c>
      <c r="C79" s="17" t="s">
        <v>209</v>
      </c>
      <c r="D79" s="26">
        <f>301+3+3.525</f>
        <v>307.525</v>
      </c>
      <c r="E79" s="26"/>
      <c r="F79" s="26"/>
      <c r="G79" s="21"/>
      <c r="H79" s="26"/>
      <c r="I79" s="26"/>
      <c r="J79" s="26"/>
      <c r="K79" s="26"/>
      <c r="L79" s="26"/>
      <c r="M79" s="26"/>
      <c r="N79" s="26">
        <f t="shared" si="6"/>
        <v>307.525</v>
      </c>
      <c r="O79" s="23"/>
    </row>
    <row r="80" spans="1:15" ht="42" customHeight="1">
      <c r="A80" s="71" t="s">
        <v>217</v>
      </c>
      <c r="B80" s="41" t="s">
        <v>93</v>
      </c>
      <c r="C80" s="17" t="s">
        <v>212</v>
      </c>
      <c r="D80" s="26">
        <f>390.2+70.727+27</f>
        <v>487.927</v>
      </c>
      <c r="E80" s="26"/>
      <c r="F80" s="26"/>
      <c r="G80" s="26"/>
      <c r="H80" s="26"/>
      <c r="I80" s="26"/>
      <c r="J80" s="26"/>
      <c r="K80" s="26"/>
      <c r="L80" s="26"/>
      <c r="M80" s="26"/>
      <c r="N80" s="26">
        <f t="shared" si="6"/>
        <v>487.927</v>
      </c>
      <c r="O80" s="23"/>
    </row>
    <row r="81" spans="1:15" ht="40.5" customHeight="1">
      <c r="A81" s="71" t="s">
        <v>236</v>
      </c>
      <c r="B81" s="41" t="s">
        <v>69</v>
      </c>
      <c r="C81" s="17" t="s">
        <v>237</v>
      </c>
      <c r="D81" s="26">
        <f>513.7-24-70</f>
        <v>419.70000000000005</v>
      </c>
      <c r="E81" s="26"/>
      <c r="F81" s="26"/>
      <c r="G81" s="21"/>
      <c r="H81" s="26"/>
      <c r="I81" s="26"/>
      <c r="J81" s="26"/>
      <c r="K81" s="26"/>
      <c r="L81" s="26"/>
      <c r="M81" s="26"/>
      <c r="N81" s="26">
        <f t="shared" si="6"/>
        <v>419.70000000000005</v>
      </c>
      <c r="O81" s="23"/>
    </row>
    <row r="82" spans="1:15" ht="63" customHeight="1">
      <c r="A82" s="71" t="s">
        <v>326</v>
      </c>
      <c r="B82" s="41"/>
      <c r="C82" s="17" t="s">
        <v>348</v>
      </c>
      <c r="D82" s="26">
        <f>D83+D84+D86+D87+D88+D89</f>
        <v>504</v>
      </c>
      <c r="E82" s="26"/>
      <c r="F82" s="26"/>
      <c r="G82" s="21"/>
      <c r="H82" s="26"/>
      <c r="I82" s="26"/>
      <c r="J82" s="26"/>
      <c r="K82" s="26"/>
      <c r="L82" s="26"/>
      <c r="M82" s="26"/>
      <c r="N82" s="26">
        <f t="shared" si="6"/>
        <v>504</v>
      </c>
      <c r="O82" s="23"/>
    </row>
    <row r="83" spans="1:15" ht="198" customHeight="1">
      <c r="A83" s="71" t="s">
        <v>193</v>
      </c>
      <c r="B83" s="41" t="s">
        <v>51</v>
      </c>
      <c r="C83" s="17" t="s">
        <v>196</v>
      </c>
      <c r="D83" s="60">
        <f>131.74-0.0912</f>
        <v>131.64880000000002</v>
      </c>
      <c r="E83" s="26"/>
      <c r="F83" s="26"/>
      <c r="G83" s="21"/>
      <c r="H83" s="26"/>
      <c r="I83" s="26"/>
      <c r="J83" s="26"/>
      <c r="K83" s="26"/>
      <c r="L83" s="26"/>
      <c r="M83" s="26"/>
      <c r="N83" s="60">
        <f t="shared" si="6"/>
        <v>131.64880000000002</v>
      </c>
      <c r="O83" s="23"/>
    </row>
    <row r="84" spans="1:15" ht="303.75" customHeight="1">
      <c r="A84" s="71" t="s">
        <v>199</v>
      </c>
      <c r="B84" s="41" t="s">
        <v>54</v>
      </c>
      <c r="C84" s="88" t="s">
        <v>200</v>
      </c>
      <c r="D84" s="60">
        <f>1.9+0.0912</f>
        <v>1.9911999999999999</v>
      </c>
      <c r="E84" s="26"/>
      <c r="F84" s="26"/>
      <c r="G84" s="21"/>
      <c r="H84" s="26"/>
      <c r="I84" s="26"/>
      <c r="J84" s="26"/>
      <c r="K84" s="26"/>
      <c r="L84" s="26"/>
      <c r="M84" s="26"/>
      <c r="N84" s="60">
        <f t="shared" si="6"/>
        <v>1.9911999999999999</v>
      </c>
      <c r="O84" s="23"/>
    </row>
    <row r="85" spans="1:15" ht="71.25" customHeight="1">
      <c r="A85" s="71"/>
      <c r="B85" s="41"/>
      <c r="C85" s="17" t="s">
        <v>201</v>
      </c>
      <c r="D85" s="26"/>
      <c r="E85" s="26"/>
      <c r="F85" s="26"/>
      <c r="G85" s="21"/>
      <c r="H85" s="26"/>
      <c r="I85" s="26"/>
      <c r="J85" s="26"/>
      <c r="K85" s="26"/>
      <c r="L85" s="26"/>
      <c r="M85" s="26"/>
      <c r="N85" s="26"/>
      <c r="O85" s="23"/>
    </row>
    <row r="86" spans="1:15" ht="101.25" customHeight="1">
      <c r="A86" s="71" t="s">
        <v>204</v>
      </c>
      <c r="B86" s="41" t="s">
        <v>56</v>
      </c>
      <c r="C86" s="17" t="s">
        <v>205</v>
      </c>
      <c r="D86" s="60">
        <f>2.375-0.3838</f>
        <v>1.9912</v>
      </c>
      <c r="E86" s="26"/>
      <c r="F86" s="26"/>
      <c r="G86" s="21"/>
      <c r="H86" s="26"/>
      <c r="I86" s="26"/>
      <c r="J86" s="26"/>
      <c r="K86" s="26"/>
      <c r="L86" s="26"/>
      <c r="M86" s="26"/>
      <c r="N86" s="60">
        <f aca="true" t="shared" si="7" ref="N86:N91">SUM(D86,G86)</f>
        <v>1.9912</v>
      </c>
      <c r="O86" s="23"/>
    </row>
    <row r="87" spans="1:15" ht="164.25" customHeight="1">
      <c r="A87" s="71" t="s">
        <v>213</v>
      </c>
      <c r="B87" s="41" t="s">
        <v>59</v>
      </c>
      <c r="C87" s="17" t="s">
        <v>210</v>
      </c>
      <c r="D87" s="26">
        <v>48.63</v>
      </c>
      <c r="E87" s="26"/>
      <c r="F87" s="26"/>
      <c r="G87" s="21"/>
      <c r="H87" s="26"/>
      <c r="I87" s="26"/>
      <c r="J87" s="26"/>
      <c r="K87" s="26"/>
      <c r="L87" s="26"/>
      <c r="M87" s="26"/>
      <c r="N87" s="26">
        <f t="shared" si="7"/>
        <v>48.63</v>
      </c>
      <c r="O87" s="23"/>
    </row>
    <row r="88" spans="1:15" ht="40.5" customHeight="1">
      <c r="A88" s="71" t="s">
        <v>218</v>
      </c>
      <c r="B88" s="41" t="s">
        <v>94</v>
      </c>
      <c r="C88" s="17" t="s">
        <v>219</v>
      </c>
      <c r="D88" s="60">
        <f>79.055+0.3838-11.728</f>
        <v>67.7108</v>
      </c>
      <c r="E88" s="26"/>
      <c r="F88" s="26"/>
      <c r="G88" s="26"/>
      <c r="H88" s="26"/>
      <c r="I88" s="26"/>
      <c r="J88" s="26"/>
      <c r="K88" s="26"/>
      <c r="L88" s="26"/>
      <c r="M88" s="26"/>
      <c r="N88" s="60">
        <f t="shared" si="7"/>
        <v>67.7108</v>
      </c>
      <c r="O88" s="26">
        <f>SUM(E88,H88)</f>
        <v>0</v>
      </c>
    </row>
    <row r="89" spans="1:15" ht="52.5" customHeight="1">
      <c r="A89" s="71" t="s">
        <v>238</v>
      </c>
      <c r="B89" s="41" t="s">
        <v>87</v>
      </c>
      <c r="C89" s="17" t="s">
        <v>239</v>
      </c>
      <c r="D89" s="26">
        <f>264-11.972</f>
        <v>252.028</v>
      </c>
      <c r="E89" s="26"/>
      <c r="F89" s="26"/>
      <c r="G89" s="26"/>
      <c r="H89" s="26"/>
      <c r="I89" s="26"/>
      <c r="J89" s="26"/>
      <c r="K89" s="26"/>
      <c r="L89" s="26"/>
      <c r="M89" s="26"/>
      <c r="N89" s="26">
        <f t="shared" si="7"/>
        <v>252.028</v>
      </c>
      <c r="O89" s="26"/>
    </row>
    <row r="90" spans="1:15" ht="184.5" customHeight="1">
      <c r="A90" s="71" t="s">
        <v>327</v>
      </c>
      <c r="B90" s="41"/>
      <c r="C90" s="39" t="s">
        <v>328</v>
      </c>
      <c r="D90" s="26">
        <f>D91+D92+D93+D94+D95</f>
        <v>273.8</v>
      </c>
      <c r="E90" s="26"/>
      <c r="F90" s="26"/>
      <c r="G90" s="26"/>
      <c r="H90" s="26"/>
      <c r="I90" s="26"/>
      <c r="J90" s="26"/>
      <c r="K90" s="26"/>
      <c r="L90" s="26"/>
      <c r="M90" s="26"/>
      <c r="N90" s="26">
        <f t="shared" si="7"/>
        <v>273.8</v>
      </c>
      <c r="O90" s="26"/>
    </row>
    <row r="91" spans="1:15" ht="218.25" customHeight="1">
      <c r="A91" s="71" t="s">
        <v>197</v>
      </c>
      <c r="B91" s="41" t="s">
        <v>52</v>
      </c>
      <c r="C91" s="17" t="s">
        <v>198</v>
      </c>
      <c r="D91" s="26">
        <f>36.974-4.384-4.5-3.473</f>
        <v>24.616999999999997</v>
      </c>
      <c r="E91" s="26"/>
      <c r="F91" s="26"/>
      <c r="G91" s="49"/>
      <c r="H91" s="26"/>
      <c r="I91" s="26"/>
      <c r="J91" s="26"/>
      <c r="K91" s="26"/>
      <c r="L91" s="26"/>
      <c r="M91" s="26"/>
      <c r="N91" s="26">
        <f t="shared" si="7"/>
        <v>24.616999999999997</v>
      </c>
      <c r="O91" s="23"/>
    </row>
    <row r="92" spans="1:15" ht="80.25" customHeight="1">
      <c r="A92" s="71" t="s">
        <v>206</v>
      </c>
      <c r="B92" s="41" t="s">
        <v>57</v>
      </c>
      <c r="C92" s="17" t="s">
        <v>207</v>
      </c>
      <c r="D92" s="26">
        <f>1.1+0.151</f>
        <v>1.2510000000000001</v>
      </c>
      <c r="E92" s="26"/>
      <c r="F92" s="26"/>
      <c r="G92" s="21"/>
      <c r="H92" s="26"/>
      <c r="I92" s="26"/>
      <c r="J92" s="26"/>
      <c r="K92" s="26"/>
      <c r="L92" s="26"/>
      <c r="M92" s="26"/>
      <c r="N92" s="26">
        <f aca="true" t="shared" si="8" ref="N92:N104">SUM(D92,G92)</f>
        <v>1.2510000000000001</v>
      </c>
      <c r="O92" s="23"/>
    </row>
    <row r="93" spans="1:15" ht="42.75" customHeight="1">
      <c r="A93" s="71" t="s">
        <v>216</v>
      </c>
      <c r="B93" s="41" t="s">
        <v>61</v>
      </c>
      <c r="C93" s="17" t="s">
        <v>211</v>
      </c>
      <c r="D93" s="26">
        <f>112.8+1.5-11.684+6.597</f>
        <v>109.213</v>
      </c>
      <c r="E93" s="26"/>
      <c r="F93" s="26"/>
      <c r="G93" s="26"/>
      <c r="H93" s="26"/>
      <c r="I93" s="26"/>
      <c r="J93" s="26"/>
      <c r="K93" s="26"/>
      <c r="L93" s="26"/>
      <c r="M93" s="26"/>
      <c r="N93" s="26">
        <f>SUM(D93,G93)</f>
        <v>109.213</v>
      </c>
      <c r="O93" s="23"/>
    </row>
    <row r="94" spans="1:15" ht="53.25" customHeight="1">
      <c r="A94" s="71" t="s">
        <v>260</v>
      </c>
      <c r="B94" s="41" t="s">
        <v>77</v>
      </c>
      <c r="C94" s="17" t="s">
        <v>261</v>
      </c>
      <c r="D94" s="26">
        <f>65-5.872</f>
        <v>59.128</v>
      </c>
      <c r="E94" s="26"/>
      <c r="F94" s="26"/>
      <c r="G94" s="26"/>
      <c r="H94" s="26"/>
      <c r="I94" s="26"/>
      <c r="J94" s="26"/>
      <c r="K94" s="26"/>
      <c r="L94" s="26"/>
      <c r="M94" s="26"/>
      <c r="N94" s="26">
        <f>SUM(D94,G94)</f>
        <v>59.128</v>
      </c>
      <c r="O94" s="23"/>
    </row>
    <row r="95" spans="1:15" ht="53.25" customHeight="1">
      <c r="A95" s="71" t="s">
        <v>262</v>
      </c>
      <c r="B95" s="41" t="s">
        <v>78</v>
      </c>
      <c r="C95" s="17" t="s">
        <v>263</v>
      </c>
      <c r="D95" s="26">
        <f>112.926-10.616-1.5-17.944-3.275</f>
        <v>79.591</v>
      </c>
      <c r="E95" s="26"/>
      <c r="F95" s="26"/>
      <c r="G95" s="26"/>
      <c r="H95" s="26"/>
      <c r="I95" s="26"/>
      <c r="J95" s="26"/>
      <c r="K95" s="26"/>
      <c r="L95" s="26"/>
      <c r="M95" s="26"/>
      <c r="N95" s="26">
        <f>SUM(D95,G95)</f>
        <v>79.591</v>
      </c>
      <c r="O95" s="23"/>
    </row>
    <row r="96" spans="1:15" ht="53.25" customHeight="1">
      <c r="A96" s="71" t="s">
        <v>329</v>
      </c>
      <c r="B96" s="41"/>
      <c r="C96" s="17" t="s">
        <v>330</v>
      </c>
      <c r="D96" s="26">
        <f>D97+D98+D99+D100+D101+D102+D103+D104+D105</f>
        <v>50588.700000000004</v>
      </c>
      <c r="E96" s="26"/>
      <c r="F96" s="26"/>
      <c r="G96" s="26"/>
      <c r="H96" s="26"/>
      <c r="I96" s="26"/>
      <c r="J96" s="26"/>
      <c r="K96" s="26"/>
      <c r="L96" s="26"/>
      <c r="M96" s="26"/>
      <c r="N96" s="26">
        <f>SUM(D96,G96)</f>
        <v>50588.700000000004</v>
      </c>
      <c r="O96" s="23"/>
    </row>
    <row r="97" spans="1:15" ht="22.5" customHeight="1">
      <c r="A97" s="71" t="s">
        <v>220</v>
      </c>
      <c r="B97" s="41" t="s">
        <v>62</v>
      </c>
      <c r="C97" s="17" t="s">
        <v>221</v>
      </c>
      <c r="D97" s="26">
        <f>505.6-40-13.959+30+6</f>
        <v>487.641</v>
      </c>
      <c r="E97" s="26"/>
      <c r="F97" s="26"/>
      <c r="G97" s="26"/>
      <c r="H97" s="26"/>
      <c r="I97" s="26"/>
      <c r="J97" s="26"/>
      <c r="K97" s="26"/>
      <c r="L97" s="26"/>
      <c r="M97" s="26"/>
      <c r="N97" s="26">
        <f t="shared" si="8"/>
        <v>487.641</v>
      </c>
      <c r="O97" s="23"/>
    </row>
    <row r="98" spans="1:15" ht="30.75" customHeight="1">
      <c r="A98" s="71" t="s">
        <v>222</v>
      </c>
      <c r="B98" s="41" t="s">
        <v>63</v>
      </c>
      <c r="C98" s="17" t="s">
        <v>223</v>
      </c>
      <c r="D98" s="26">
        <f>8760-1300-280+80</f>
        <v>7260</v>
      </c>
      <c r="E98" s="26"/>
      <c r="F98" s="26"/>
      <c r="G98" s="26"/>
      <c r="H98" s="26"/>
      <c r="I98" s="26"/>
      <c r="J98" s="26"/>
      <c r="K98" s="26"/>
      <c r="L98" s="26"/>
      <c r="M98" s="26"/>
      <c r="N98" s="26">
        <f t="shared" si="8"/>
        <v>7260</v>
      </c>
      <c r="O98" s="23"/>
    </row>
    <row r="99" spans="1:15" ht="21" customHeight="1">
      <c r="A99" s="71" t="s">
        <v>224</v>
      </c>
      <c r="B99" s="41" t="s">
        <v>64</v>
      </c>
      <c r="C99" s="17" t="s">
        <v>225</v>
      </c>
      <c r="D99" s="26">
        <f>17817.6-500+170+800</f>
        <v>18287.6</v>
      </c>
      <c r="E99" s="26"/>
      <c r="F99" s="26"/>
      <c r="G99" s="26"/>
      <c r="H99" s="26"/>
      <c r="I99" s="26"/>
      <c r="J99" s="26"/>
      <c r="K99" s="26"/>
      <c r="L99" s="26"/>
      <c r="M99" s="26"/>
      <c r="N99" s="26">
        <f t="shared" si="8"/>
        <v>18287.6</v>
      </c>
      <c r="O99" s="23"/>
    </row>
    <row r="100" spans="1:15" ht="33" customHeight="1">
      <c r="A100" s="71" t="s">
        <v>226</v>
      </c>
      <c r="B100" s="41" t="s">
        <v>65</v>
      </c>
      <c r="C100" s="30" t="s">
        <v>227</v>
      </c>
      <c r="D100" s="26">
        <f>2879.8-200+30</f>
        <v>2709.8</v>
      </c>
      <c r="E100" s="26"/>
      <c r="F100" s="26"/>
      <c r="G100" s="26"/>
      <c r="H100" s="26"/>
      <c r="I100" s="26"/>
      <c r="J100" s="26"/>
      <c r="K100" s="26"/>
      <c r="L100" s="26"/>
      <c r="M100" s="26"/>
      <c r="N100" s="26">
        <f t="shared" si="8"/>
        <v>2709.8</v>
      </c>
      <c r="O100" s="23"/>
    </row>
    <row r="101" spans="1:15" ht="19.5" customHeight="1">
      <c r="A101" s="71" t="s">
        <v>228</v>
      </c>
      <c r="B101" s="41" t="s">
        <v>66</v>
      </c>
      <c r="C101" s="17" t="s">
        <v>229</v>
      </c>
      <c r="D101" s="26">
        <f>6503.8-380+65</f>
        <v>6188.8</v>
      </c>
      <c r="E101" s="26"/>
      <c r="F101" s="26"/>
      <c r="G101" s="26"/>
      <c r="H101" s="26"/>
      <c r="I101" s="26"/>
      <c r="J101" s="26"/>
      <c r="K101" s="26"/>
      <c r="L101" s="26"/>
      <c r="M101" s="26"/>
      <c r="N101" s="26">
        <f t="shared" si="8"/>
        <v>6188.8</v>
      </c>
      <c r="O101" s="23"/>
    </row>
    <row r="102" spans="1:15" ht="23.25" customHeight="1">
      <c r="A102" s="71" t="s">
        <v>230</v>
      </c>
      <c r="B102" s="41" t="s">
        <v>67</v>
      </c>
      <c r="C102" s="17" t="s">
        <v>231</v>
      </c>
      <c r="D102" s="26">
        <f>758.8-10+5+45</f>
        <v>798.8</v>
      </c>
      <c r="E102" s="26"/>
      <c r="F102" s="26"/>
      <c r="G102" s="26"/>
      <c r="H102" s="26"/>
      <c r="I102" s="26"/>
      <c r="J102" s="26"/>
      <c r="K102" s="26"/>
      <c r="L102" s="26"/>
      <c r="M102" s="26"/>
      <c r="N102" s="26">
        <f t="shared" si="8"/>
        <v>798.8</v>
      </c>
      <c r="O102" s="23"/>
    </row>
    <row r="103" spans="1:15" ht="20.25" customHeight="1">
      <c r="A103" s="71" t="s">
        <v>232</v>
      </c>
      <c r="B103" s="41" t="s">
        <v>90</v>
      </c>
      <c r="C103" s="17" t="s">
        <v>233</v>
      </c>
      <c r="D103" s="26">
        <f>35+3.227+13.959</f>
        <v>52.18599999999999</v>
      </c>
      <c r="E103" s="26"/>
      <c r="F103" s="26"/>
      <c r="G103" s="26"/>
      <c r="H103" s="26"/>
      <c r="I103" s="26"/>
      <c r="J103" s="26"/>
      <c r="K103" s="26"/>
      <c r="L103" s="26"/>
      <c r="M103" s="26"/>
      <c r="N103" s="26">
        <f t="shared" si="8"/>
        <v>52.18599999999999</v>
      </c>
      <c r="O103" s="23"/>
    </row>
    <row r="104" spans="1:15" ht="30.75" customHeight="1">
      <c r="A104" s="71" t="s">
        <v>234</v>
      </c>
      <c r="B104" s="41" t="s">
        <v>68</v>
      </c>
      <c r="C104" s="17" t="s">
        <v>235</v>
      </c>
      <c r="D104" s="26">
        <f>5081.1+2926.773+96.5+900-16</f>
        <v>8988.373</v>
      </c>
      <c r="E104" s="26"/>
      <c r="F104" s="26"/>
      <c r="G104" s="26"/>
      <c r="H104" s="26"/>
      <c r="I104" s="26"/>
      <c r="J104" s="26"/>
      <c r="K104" s="26"/>
      <c r="L104" s="26"/>
      <c r="M104" s="26"/>
      <c r="N104" s="26">
        <f t="shared" si="8"/>
        <v>8988.373</v>
      </c>
      <c r="O104" s="23"/>
    </row>
    <row r="105" spans="1:15" ht="35.25" customHeight="1">
      <c r="A105" s="71" t="s">
        <v>254</v>
      </c>
      <c r="B105" s="41" t="s">
        <v>75</v>
      </c>
      <c r="C105" s="17" t="s">
        <v>255</v>
      </c>
      <c r="D105" s="26">
        <f>6247-500+8.5+50+10</f>
        <v>5815.5</v>
      </c>
      <c r="E105" s="26"/>
      <c r="F105" s="26"/>
      <c r="G105" s="26"/>
      <c r="H105" s="26"/>
      <c r="I105" s="26"/>
      <c r="J105" s="26"/>
      <c r="K105" s="26"/>
      <c r="L105" s="26"/>
      <c r="M105" s="26"/>
      <c r="N105" s="26">
        <f aca="true" t="shared" si="9" ref="N105:N111">SUM(D105,G105)</f>
        <v>5815.5</v>
      </c>
      <c r="O105" s="23"/>
    </row>
    <row r="106" spans="1:15" ht="35.25" customHeight="1">
      <c r="A106" s="71" t="s">
        <v>214</v>
      </c>
      <c r="B106" s="41" t="s">
        <v>60</v>
      </c>
      <c r="C106" s="17" t="s">
        <v>215</v>
      </c>
      <c r="D106" s="26">
        <v>57.4</v>
      </c>
      <c r="E106" s="26"/>
      <c r="F106" s="26"/>
      <c r="G106" s="21"/>
      <c r="H106" s="26"/>
      <c r="I106" s="26"/>
      <c r="J106" s="26"/>
      <c r="K106" s="26"/>
      <c r="L106" s="26"/>
      <c r="M106" s="26"/>
      <c r="N106" s="26">
        <f t="shared" si="9"/>
        <v>57.4</v>
      </c>
      <c r="O106" s="23"/>
    </row>
    <row r="107" spans="1:15" ht="35.25" customHeight="1">
      <c r="A107" s="71" t="s">
        <v>244</v>
      </c>
      <c r="B107" s="41" t="s">
        <v>73</v>
      </c>
      <c r="C107" s="17" t="s">
        <v>245</v>
      </c>
      <c r="D107" s="26">
        <f>260.7+40-17.318+273.1</f>
        <v>556.482</v>
      </c>
      <c r="E107" s="26"/>
      <c r="F107" s="26"/>
      <c r="G107" s="26"/>
      <c r="H107" s="26"/>
      <c r="I107" s="26"/>
      <c r="J107" s="26"/>
      <c r="K107" s="26"/>
      <c r="L107" s="26"/>
      <c r="M107" s="26"/>
      <c r="N107" s="26">
        <f t="shared" si="9"/>
        <v>556.482</v>
      </c>
      <c r="O107" s="23"/>
    </row>
    <row r="108" spans="1:15" ht="35.25" customHeight="1">
      <c r="A108" s="71" t="s">
        <v>242</v>
      </c>
      <c r="B108" s="41" t="s">
        <v>72</v>
      </c>
      <c r="C108" s="17" t="s">
        <v>243</v>
      </c>
      <c r="D108" s="26">
        <v>18</v>
      </c>
      <c r="E108" s="26"/>
      <c r="F108" s="26"/>
      <c r="G108" s="26"/>
      <c r="H108" s="26"/>
      <c r="I108" s="26"/>
      <c r="J108" s="26"/>
      <c r="K108" s="26"/>
      <c r="L108" s="26"/>
      <c r="M108" s="26"/>
      <c r="N108" s="26">
        <f t="shared" si="9"/>
        <v>18</v>
      </c>
      <c r="O108" s="23"/>
    </row>
    <row r="109" spans="1:15" ht="59.25" customHeight="1">
      <c r="A109" s="71" t="s">
        <v>331</v>
      </c>
      <c r="B109" s="41"/>
      <c r="C109" s="17" t="s">
        <v>332</v>
      </c>
      <c r="D109" s="26">
        <f aca="true" t="shared" si="10" ref="D109:M109">D110+D111</f>
        <v>3489.0069999999996</v>
      </c>
      <c r="E109" s="26">
        <f t="shared" si="10"/>
        <v>2155.962</v>
      </c>
      <c r="F109" s="26">
        <f t="shared" si="10"/>
        <v>140.2</v>
      </c>
      <c r="G109" s="26">
        <f t="shared" si="10"/>
        <v>164.6</v>
      </c>
      <c r="H109" s="26">
        <f t="shared" si="10"/>
        <v>160</v>
      </c>
      <c r="I109" s="26">
        <f t="shared" si="10"/>
        <v>12.5</v>
      </c>
      <c r="J109" s="26"/>
      <c r="K109" s="26">
        <f t="shared" si="10"/>
        <v>4.6</v>
      </c>
      <c r="L109" s="26">
        <f t="shared" si="10"/>
        <v>4.6</v>
      </c>
      <c r="M109" s="26">
        <f t="shared" si="10"/>
        <v>4.6</v>
      </c>
      <c r="N109" s="26">
        <f t="shared" si="9"/>
        <v>3653.6069999999995</v>
      </c>
      <c r="O109" s="23"/>
    </row>
    <row r="110" spans="1:15" ht="69.75" customHeight="1">
      <c r="A110" s="71" t="s">
        <v>297</v>
      </c>
      <c r="B110" s="41" t="s">
        <v>74</v>
      </c>
      <c r="C110" s="17" t="s">
        <v>246</v>
      </c>
      <c r="D110" s="26">
        <f>3193.6+34+12.63-55.1-4.6-36.213+10.372</f>
        <v>3154.689</v>
      </c>
      <c r="E110" s="26">
        <f>2020.5+24.9-40.5-30.238</f>
        <v>1974.662</v>
      </c>
      <c r="F110" s="26">
        <f>119.8+8.8</f>
        <v>128.6</v>
      </c>
      <c r="G110" s="26">
        <f>H110+K110</f>
        <v>164.6</v>
      </c>
      <c r="H110" s="26">
        <v>160</v>
      </c>
      <c r="I110" s="26">
        <v>12.5</v>
      </c>
      <c r="J110" s="26"/>
      <c r="K110" s="26">
        <v>4.6</v>
      </c>
      <c r="L110" s="26">
        <v>4.6</v>
      </c>
      <c r="M110" s="26">
        <v>4.6</v>
      </c>
      <c r="N110" s="26">
        <f t="shared" si="9"/>
        <v>3319.2889999999998</v>
      </c>
      <c r="O110" s="23"/>
    </row>
    <row r="111" spans="1:15" ht="46.5" customHeight="1">
      <c r="A111" s="71" t="s">
        <v>298</v>
      </c>
      <c r="B111" s="41" t="s">
        <v>109</v>
      </c>
      <c r="C111" s="17" t="s">
        <v>249</v>
      </c>
      <c r="D111" s="55">
        <f>333.9+0.418</f>
        <v>334.318</v>
      </c>
      <c r="E111" s="55">
        <f>176.3+5</f>
        <v>181.3</v>
      </c>
      <c r="F111" s="55">
        <f>18.6-7</f>
        <v>11.600000000000001</v>
      </c>
      <c r="G111" s="26"/>
      <c r="H111" s="26"/>
      <c r="I111" s="26"/>
      <c r="J111" s="26"/>
      <c r="K111" s="26"/>
      <c r="L111" s="26"/>
      <c r="M111" s="26"/>
      <c r="N111" s="26">
        <f t="shared" si="9"/>
        <v>334.318</v>
      </c>
      <c r="O111" s="23"/>
    </row>
    <row r="112" spans="1:15" ht="41.25" customHeight="1">
      <c r="A112" s="71" t="s">
        <v>333</v>
      </c>
      <c r="B112" s="41"/>
      <c r="C112" s="17" t="s">
        <v>334</v>
      </c>
      <c r="D112" s="55">
        <f>D113+D115</f>
        <v>692.25</v>
      </c>
      <c r="E112" s="55">
        <f aca="true" t="shared" si="11" ref="E112:M112">E113+E115</f>
        <v>463.486</v>
      </c>
      <c r="F112" s="55">
        <f t="shared" si="11"/>
        <v>8.767</v>
      </c>
      <c r="G112" s="55">
        <f t="shared" si="11"/>
        <v>46.61</v>
      </c>
      <c r="H112" s="55">
        <f t="shared" si="11"/>
        <v>0</v>
      </c>
      <c r="I112" s="55">
        <f t="shared" si="11"/>
        <v>0</v>
      </c>
      <c r="J112" s="55">
        <f t="shared" si="11"/>
        <v>0</v>
      </c>
      <c r="K112" s="55">
        <f t="shared" si="11"/>
        <v>46.61</v>
      </c>
      <c r="L112" s="55">
        <f t="shared" si="11"/>
        <v>46.61</v>
      </c>
      <c r="M112" s="55">
        <f t="shared" si="11"/>
        <v>46.61</v>
      </c>
      <c r="N112" s="55">
        <f>N113+N115</f>
        <v>738.86</v>
      </c>
      <c r="O112" s="23"/>
    </row>
    <row r="113" spans="1:15" ht="24" customHeight="1">
      <c r="A113" s="71" t="s">
        <v>292</v>
      </c>
      <c r="B113" s="59" t="s">
        <v>36</v>
      </c>
      <c r="C113" s="52" t="s">
        <v>160</v>
      </c>
      <c r="D113" s="49">
        <f>108.6+538.6+42.861</f>
        <v>690.061</v>
      </c>
      <c r="E113" s="49">
        <f>76.7+383.086+3.7</f>
        <v>463.486</v>
      </c>
      <c r="F113" s="49">
        <f>1.629+7.138</f>
        <v>8.767</v>
      </c>
      <c r="G113" s="49">
        <f>H113+K113</f>
        <v>46.61</v>
      </c>
      <c r="H113" s="49"/>
      <c r="I113" s="49"/>
      <c r="J113" s="49"/>
      <c r="K113" s="49">
        <v>46.61</v>
      </c>
      <c r="L113" s="49">
        <v>46.61</v>
      </c>
      <c r="M113" s="49">
        <v>46.61</v>
      </c>
      <c r="N113" s="49">
        <f>SUM(D113,G113)</f>
        <v>736.671</v>
      </c>
      <c r="O113" s="23"/>
    </row>
    <row r="114" spans="1:15" ht="16.5" customHeight="1">
      <c r="A114" s="71"/>
      <c r="B114" s="44"/>
      <c r="C114" s="33"/>
      <c r="D114" s="26"/>
      <c r="E114" s="26"/>
      <c r="F114" s="26"/>
      <c r="G114" s="26"/>
      <c r="H114" s="26"/>
      <c r="I114" s="26"/>
      <c r="J114" s="26"/>
      <c r="K114" s="26"/>
      <c r="L114" s="26"/>
      <c r="M114" s="26"/>
      <c r="N114" s="26"/>
      <c r="O114" s="23"/>
    </row>
    <row r="115" spans="1:15" ht="31.5" customHeight="1">
      <c r="A115" s="71" t="s">
        <v>293</v>
      </c>
      <c r="B115" s="59" t="s">
        <v>112</v>
      </c>
      <c r="C115" s="58" t="s">
        <v>113</v>
      </c>
      <c r="D115" s="26">
        <f>2+0.189</f>
        <v>2.189</v>
      </c>
      <c r="E115" s="26"/>
      <c r="F115" s="26"/>
      <c r="G115" s="26"/>
      <c r="H115" s="26"/>
      <c r="I115" s="26"/>
      <c r="J115" s="26"/>
      <c r="K115" s="26"/>
      <c r="L115" s="26"/>
      <c r="M115" s="26"/>
      <c r="N115" s="26">
        <f>SUM(D115,G115)</f>
        <v>2.189</v>
      </c>
      <c r="O115" s="23"/>
    </row>
    <row r="116" spans="1:15" ht="75.75" customHeight="1">
      <c r="A116" s="71" t="s">
        <v>335</v>
      </c>
      <c r="B116" s="59"/>
      <c r="C116" s="90" t="s">
        <v>336</v>
      </c>
      <c r="D116" s="26">
        <f>D118+D119+D117</f>
        <v>201.96300000000002</v>
      </c>
      <c r="E116" s="26"/>
      <c r="F116" s="26"/>
      <c r="G116" s="26"/>
      <c r="H116" s="26"/>
      <c r="I116" s="26"/>
      <c r="J116" s="26"/>
      <c r="K116" s="26"/>
      <c r="L116" s="26"/>
      <c r="M116" s="26"/>
      <c r="N116" s="26">
        <f>SUM(D116,G116)</f>
        <v>201.96300000000002</v>
      </c>
      <c r="O116" s="23"/>
    </row>
    <row r="117" spans="1:15" ht="72.75" customHeight="1">
      <c r="A117" s="71" t="s">
        <v>247</v>
      </c>
      <c r="B117" s="41" t="s">
        <v>105</v>
      </c>
      <c r="C117" s="17" t="s">
        <v>248</v>
      </c>
      <c r="D117" s="26">
        <f>160+5.163+27.8</f>
        <v>192.96300000000002</v>
      </c>
      <c r="E117" s="26"/>
      <c r="F117" s="26"/>
      <c r="G117" s="26"/>
      <c r="H117" s="26"/>
      <c r="I117" s="26"/>
      <c r="J117" s="26"/>
      <c r="K117" s="26"/>
      <c r="L117" s="26"/>
      <c r="M117" s="26"/>
      <c r="N117" s="26">
        <f>SUM(D117,G117)</f>
        <v>192.96300000000002</v>
      </c>
      <c r="O117" s="23"/>
    </row>
    <row r="118" spans="1:15" ht="53.25" customHeight="1">
      <c r="A118" s="71" t="s">
        <v>256</v>
      </c>
      <c r="B118" s="41" t="s">
        <v>86</v>
      </c>
      <c r="C118" s="17" t="s">
        <v>257</v>
      </c>
      <c r="D118" s="26">
        <v>8.664</v>
      </c>
      <c r="E118" s="26"/>
      <c r="F118" s="26"/>
      <c r="G118" s="26"/>
      <c r="H118" s="26"/>
      <c r="I118" s="26"/>
      <c r="J118" s="26"/>
      <c r="K118" s="26"/>
      <c r="L118" s="26"/>
      <c r="M118" s="26"/>
      <c r="N118" s="26">
        <f>SUM(D118,G118)</f>
        <v>8.664</v>
      </c>
      <c r="O118" s="23"/>
    </row>
    <row r="119" spans="1:15" ht="25.5" customHeight="1">
      <c r="A119" s="71" t="s">
        <v>258</v>
      </c>
      <c r="B119" s="41" t="s">
        <v>76</v>
      </c>
      <c r="C119" s="17" t="s">
        <v>259</v>
      </c>
      <c r="D119" s="26">
        <v>0.336</v>
      </c>
      <c r="E119" s="26"/>
      <c r="F119" s="26"/>
      <c r="G119" s="26"/>
      <c r="H119" s="26"/>
      <c r="I119" s="26"/>
      <c r="J119" s="26"/>
      <c r="K119" s="26"/>
      <c r="L119" s="26"/>
      <c r="M119" s="26"/>
      <c r="N119" s="26">
        <f>SUM(D119,G119)</f>
        <v>0.336</v>
      </c>
      <c r="O119" s="23"/>
    </row>
    <row r="120" spans="1:15" ht="25.5" customHeight="1">
      <c r="A120" s="71"/>
      <c r="B120" s="41"/>
      <c r="C120" s="17"/>
      <c r="D120" s="26"/>
      <c r="E120" s="26"/>
      <c r="F120" s="26"/>
      <c r="G120" s="26"/>
      <c r="H120" s="26"/>
      <c r="I120" s="26"/>
      <c r="J120" s="26"/>
      <c r="K120" s="26"/>
      <c r="L120" s="26"/>
      <c r="M120" s="26"/>
      <c r="N120" s="26"/>
      <c r="O120" s="23"/>
    </row>
    <row r="121" spans="1:15" ht="91.5" customHeight="1">
      <c r="A121" s="71" t="s">
        <v>250</v>
      </c>
      <c r="B121" s="41" t="s">
        <v>104</v>
      </c>
      <c r="C121" s="17" t="s">
        <v>251</v>
      </c>
      <c r="D121" s="26">
        <f>1.5+0.037</f>
        <v>1.537</v>
      </c>
      <c r="E121" s="26"/>
      <c r="F121" s="26"/>
      <c r="G121" s="26"/>
      <c r="H121" s="26"/>
      <c r="I121" s="26"/>
      <c r="J121" s="26"/>
      <c r="K121" s="26"/>
      <c r="L121" s="26"/>
      <c r="M121" s="26"/>
      <c r="N121" s="26">
        <f aca="true" t="shared" si="12" ref="N121:N126">SUM(D121,G121)</f>
        <v>1.537</v>
      </c>
      <c r="O121" s="23"/>
    </row>
    <row r="122" spans="1:15" ht="30" customHeight="1">
      <c r="A122" s="71" t="s">
        <v>337</v>
      </c>
      <c r="B122" s="41"/>
      <c r="C122" s="17" t="s">
        <v>338</v>
      </c>
      <c r="D122" s="26">
        <f>D123+D124</f>
        <v>91.57300000000001</v>
      </c>
      <c r="E122" s="26"/>
      <c r="F122" s="26"/>
      <c r="G122" s="26"/>
      <c r="H122" s="26"/>
      <c r="I122" s="26"/>
      <c r="J122" s="26"/>
      <c r="K122" s="26"/>
      <c r="L122" s="26"/>
      <c r="M122" s="26"/>
      <c r="N122" s="26">
        <f t="shared" si="12"/>
        <v>91.57300000000001</v>
      </c>
      <c r="O122" s="23"/>
    </row>
    <row r="123" spans="1:15" ht="36.75" customHeight="1">
      <c r="A123" s="71" t="s">
        <v>241</v>
      </c>
      <c r="B123" s="41" t="s">
        <v>88</v>
      </c>
      <c r="C123" s="36" t="s">
        <v>89</v>
      </c>
      <c r="D123" s="26">
        <f>30.48+25.6-1.32-4.8</f>
        <v>49.96</v>
      </c>
      <c r="E123" s="26"/>
      <c r="F123" s="26"/>
      <c r="G123" s="26"/>
      <c r="H123" s="26"/>
      <c r="I123" s="26"/>
      <c r="J123" s="26"/>
      <c r="K123" s="26"/>
      <c r="L123" s="26"/>
      <c r="M123" s="26"/>
      <c r="N123" s="26">
        <f t="shared" si="12"/>
        <v>49.96</v>
      </c>
      <c r="O123" s="23"/>
    </row>
    <row r="124" spans="1:15" ht="57" customHeight="1">
      <c r="A124" s="71" t="s">
        <v>252</v>
      </c>
      <c r="B124" s="41" t="s">
        <v>82</v>
      </c>
      <c r="C124" s="17" t="s">
        <v>253</v>
      </c>
      <c r="D124" s="26">
        <f>40.9+0.713</f>
        <v>41.613</v>
      </c>
      <c r="E124" s="26"/>
      <c r="F124" s="26"/>
      <c r="G124" s="26"/>
      <c r="H124" s="26"/>
      <c r="I124" s="26"/>
      <c r="J124" s="26"/>
      <c r="K124" s="26"/>
      <c r="L124" s="26"/>
      <c r="M124" s="26"/>
      <c r="N124" s="26">
        <f t="shared" si="12"/>
        <v>41.613</v>
      </c>
      <c r="O124" s="23"/>
    </row>
    <row r="125" spans="1:15" ht="23.25" customHeight="1">
      <c r="A125" s="71" t="s">
        <v>339</v>
      </c>
      <c r="B125" s="41"/>
      <c r="C125" s="17" t="s">
        <v>71</v>
      </c>
      <c r="D125" s="26">
        <f>D126</f>
        <v>64.604</v>
      </c>
      <c r="E125" s="26"/>
      <c r="F125" s="26"/>
      <c r="G125" s="26"/>
      <c r="H125" s="26"/>
      <c r="I125" s="26"/>
      <c r="J125" s="26"/>
      <c r="K125" s="26"/>
      <c r="L125" s="26"/>
      <c r="M125" s="26"/>
      <c r="N125" s="26">
        <f t="shared" si="12"/>
        <v>64.604</v>
      </c>
      <c r="O125" s="23"/>
    </row>
    <row r="126" spans="1:15" ht="20.25" customHeight="1">
      <c r="A126" s="71" t="s">
        <v>240</v>
      </c>
      <c r="B126" s="41" t="s">
        <v>70</v>
      </c>
      <c r="C126" s="17" t="s">
        <v>71</v>
      </c>
      <c r="D126" s="26">
        <f>8.8+3.5362+0.1638+46-1.196-0.4+7.7</f>
        <v>64.604</v>
      </c>
      <c r="E126" s="26"/>
      <c r="F126" s="26"/>
      <c r="G126" s="26"/>
      <c r="H126" s="26"/>
      <c r="I126" s="26"/>
      <c r="J126" s="26"/>
      <c r="K126" s="26"/>
      <c r="L126" s="26"/>
      <c r="M126" s="26"/>
      <c r="N126" s="26">
        <f t="shared" si="12"/>
        <v>64.604</v>
      </c>
      <c r="O126" s="23"/>
    </row>
    <row r="127" ht="9.75" customHeight="1">
      <c r="O127" s="23"/>
    </row>
    <row r="128" spans="1:15" ht="64.5" customHeight="1">
      <c r="A128" s="71" t="s">
        <v>264</v>
      </c>
      <c r="B128" s="41" t="s">
        <v>79</v>
      </c>
      <c r="C128" s="17" t="s">
        <v>265</v>
      </c>
      <c r="D128" s="26">
        <f>338.2-43.581</f>
        <v>294.61899999999997</v>
      </c>
      <c r="E128" s="26"/>
      <c r="F128" s="26"/>
      <c r="G128" s="26"/>
      <c r="H128" s="26"/>
      <c r="I128" s="26"/>
      <c r="J128" s="26"/>
      <c r="K128" s="26"/>
      <c r="L128" s="26"/>
      <c r="M128" s="26"/>
      <c r="N128" s="26">
        <f>SUM(D128,G128)</f>
        <v>294.61899999999997</v>
      </c>
      <c r="O128" s="23"/>
    </row>
    <row r="129" spans="1:15" s="19" customFormat="1" ht="24.75" customHeight="1">
      <c r="A129" s="71"/>
      <c r="B129" s="41"/>
      <c r="C129" s="7" t="s">
        <v>9</v>
      </c>
      <c r="D129" s="29">
        <f>D74+D82+D90+D96+D106+D107+D108+D109+D112+D116+D121+D122+D125+D128</f>
        <v>60221.835</v>
      </c>
      <c r="E129" s="29">
        <f>E74+E82+E90+E96+E106+E107+E108+E109+E112+E116+E121+E122+E125+E128</f>
        <v>2619.448</v>
      </c>
      <c r="F129" s="29">
        <f>F74+F82+F90+F96+F106+F107+F108+F109+F112+F116+F121+F122+F125+F128</f>
        <v>148.96699999999998</v>
      </c>
      <c r="G129" s="29">
        <f>H129+K129</f>
        <v>211.21</v>
      </c>
      <c r="H129" s="29">
        <f aca="true" t="shared" si="13" ref="H129:M129">H74+H82+H90+H96+H106+H107+H108+H109+H112+H116+H121+H122+H125+H128</f>
        <v>160</v>
      </c>
      <c r="I129" s="29">
        <f t="shared" si="13"/>
        <v>12.5</v>
      </c>
      <c r="J129" s="29">
        <f t="shared" si="13"/>
        <v>0</v>
      </c>
      <c r="K129" s="29">
        <f t="shared" si="13"/>
        <v>51.21</v>
      </c>
      <c r="L129" s="29">
        <f t="shared" si="13"/>
        <v>51.21</v>
      </c>
      <c r="M129" s="29">
        <f t="shared" si="13"/>
        <v>51.21</v>
      </c>
      <c r="N129" s="54">
        <f>D129+G129</f>
        <v>60433.045</v>
      </c>
      <c r="O129" s="21"/>
    </row>
    <row r="130" spans="1:15" s="19" customFormat="1" ht="15.75">
      <c r="A130" s="71"/>
      <c r="B130" s="80"/>
      <c r="C130" s="18"/>
      <c r="D130" s="26"/>
      <c r="E130" s="26"/>
      <c r="F130" s="26"/>
      <c r="G130" s="26"/>
      <c r="H130" s="26"/>
      <c r="I130" s="26"/>
      <c r="J130" s="26"/>
      <c r="K130" s="26"/>
      <c r="L130" s="26"/>
      <c r="M130" s="26"/>
      <c r="N130" s="26"/>
      <c r="O130" s="57"/>
    </row>
    <row r="131" spans="1:15" ht="15.75">
      <c r="A131" s="71" t="s">
        <v>285</v>
      </c>
      <c r="B131" s="41"/>
      <c r="C131" s="10" t="s">
        <v>133</v>
      </c>
      <c r="D131" s="26"/>
      <c r="E131" s="26"/>
      <c r="F131" s="26"/>
      <c r="G131" s="26"/>
      <c r="H131" s="26"/>
      <c r="I131" s="26"/>
      <c r="J131" s="26"/>
      <c r="K131" s="26"/>
      <c r="L131" s="26"/>
      <c r="M131" s="26"/>
      <c r="N131" s="26"/>
      <c r="O131" s="23"/>
    </row>
    <row r="132" spans="1:15" ht="15.75">
      <c r="A132" s="71" t="s">
        <v>286</v>
      </c>
      <c r="B132" s="41"/>
      <c r="C132" s="10" t="s">
        <v>133</v>
      </c>
      <c r="D132" s="26"/>
      <c r="E132" s="26"/>
      <c r="F132" s="26"/>
      <c r="G132" s="26"/>
      <c r="H132" s="26"/>
      <c r="I132" s="26"/>
      <c r="J132" s="26"/>
      <c r="K132" s="26"/>
      <c r="L132" s="26"/>
      <c r="M132" s="26"/>
      <c r="N132" s="26"/>
      <c r="O132" s="23"/>
    </row>
    <row r="133" spans="1:15" ht="15.75">
      <c r="A133" s="71" t="s">
        <v>287</v>
      </c>
      <c r="B133" s="56" t="s">
        <v>12</v>
      </c>
      <c r="C133" s="7" t="s">
        <v>11</v>
      </c>
      <c r="D133" s="29">
        <f>D139+D134+D135+D136+D137</f>
        <v>3937.157</v>
      </c>
      <c r="E133" s="29">
        <f>E139+E134+E135+E136+E137</f>
        <v>2583.15</v>
      </c>
      <c r="F133" s="29">
        <f>F139+F134+F135+F136+F137</f>
        <v>291.9</v>
      </c>
      <c r="G133" s="29">
        <f>G139+G134+G135+G136+G137</f>
        <v>66.55</v>
      </c>
      <c r="H133" s="29">
        <f>I136+H139+H134+H135+H136+H137</f>
        <v>50.699999999999996</v>
      </c>
      <c r="I133" s="29">
        <f>J136+I139+I134+I135+I136+I137</f>
        <v>27.37</v>
      </c>
      <c r="J133" s="29">
        <f>K136+J139+J134+J135+J136+J137</f>
        <v>0</v>
      </c>
      <c r="K133" s="29">
        <f>L136+K139+K134+K135+K136+K137</f>
        <v>15.850000000000001</v>
      </c>
      <c r="L133" s="29">
        <f>M136+L139+L134+L135+L136+L137</f>
        <v>15.850000000000001</v>
      </c>
      <c r="M133" s="29">
        <f>M139+M134+M135+M136+M137</f>
        <v>15.850000000000001</v>
      </c>
      <c r="N133" s="29">
        <f>N139+N134+N135+N136+N137</f>
        <v>4003.7070000000003</v>
      </c>
      <c r="O133" s="23"/>
    </row>
    <row r="134" spans="1:15" ht="15.75">
      <c r="A134" s="71" t="s">
        <v>266</v>
      </c>
      <c r="B134" s="41" t="s">
        <v>18</v>
      </c>
      <c r="C134" s="8" t="s">
        <v>13</v>
      </c>
      <c r="D134" s="26">
        <f>1806.9+17.997-11.72+0.73</f>
        <v>1813.9070000000002</v>
      </c>
      <c r="E134" s="55">
        <f>1241.3-13.5-11</f>
        <v>1216.8</v>
      </c>
      <c r="F134" s="26">
        <v>90.7</v>
      </c>
      <c r="G134" s="26">
        <f>H134+K134</f>
        <v>15.850000000000001</v>
      </c>
      <c r="H134" s="26"/>
      <c r="I134" s="26"/>
      <c r="J134" s="26"/>
      <c r="K134" s="26">
        <f>3.55+12.3</f>
        <v>15.850000000000001</v>
      </c>
      <c r="L134" s="21">
        <f>3.55+12.3</f>
        <v>15.850000000000001</v>
      </c>
      <c r="M134" s="26">
        <f>3.55+12.3</f>
        <v>15.850000000000001</v>
      </c>
      <c r="N134" s="26">
        <f aca="true" t="shared" si="14" ref="N134:N141">SUM(D134,G134)</f>
        <v>1829.757</v>
      </c>
      <c r="O134" s="23"/>
    </row>
    <row r="135" spans="1:15" ht="15.75">
      <c r="A135" s="71" t="s">
        <v>267</v>
      </c>
      <c r="B135" s="41" t="s">
        <v>19</v>
      </c>
      <c r="C135" s="8" t="s">
        <v>14</v>
      </c>
      <c r="D135" s="26">
        <f>359.5+0.57-5.6-4.1</f>
        <v>350.36999999999995</v>
      </c>
      <c r="E135" s="55">
        <f>226.9-3.5-3.1</f>
        <v>220.3</v>
      </c>
      <c r="F135" s="26">
        <f>47.5-2.5</f>
        <v>45</v>
      </c>
      <c r="G135" s="26"/>
      <c r="H135" s="26"/>
      <c r="I135" s="26"/>
      <c r="J135" s="26"/>
      <c r="K135" s="26"/>
      <c r="L135" s="26"/>
      <c r="M135" s="26"/>
      <c r="N135" s="26">
        <f t="shared" si="14"/>
        <v>350.36999999999995</v>
      </c>
      <c r="O135" s="23"/>
    </row>
    <row r="136" spans="1:15" ht="33.75" customHeight="1">
      <c r="A136" s="71" t="s">
        <v>268</v>
      </c>
      <c r="B136" s="41" t="s">
        <v>21</v>
      </c>
      <c r="C136" s="17" t="s">
        <v>24</v>
      </c>
      <c r="D136" s="26">
        <f>755.7+23.944+1.9-1.6</f>
        <v>779.944</v>
      </c>
      <c r="E136" s="55">
        <f>463.8-2.8</f>
        <v>461</v>
      </c>
      <c r="F136" s="26">
        <f>105.9+3+2</f>
        <v>110.9</v>
      </c>
      <c r="G136" s="26">
        <f>H136+K136</f>
        <v>12</v>
      </c>
      <c r="H136" s="26">
        <v>12</v>
      </c>
      <c r="I136" s="21"/>
      <c r="J136" s="26"/>
      <c r="K136" s="26"/>
      <c r="L136" s="26"/>
      <c r="M136" s="26"/>
      <c r="N136" s="26">
        <f t="shared" si="14"/>
        <v>791.944</v>
      </c>
      <c r="O136" s="23"/>
    </row>
    <row r="137" spans="1:15" ht="19.5" customHeight="1">
      <c r="A137" s="71" t="s">
        <v>269</v>
      </c>
      <c r="B137" s="41" t="s">
        <v>0</v>
      </c>
      <c r="C137" s="17" t="s">
        <v>1</v>
      </c>
      <c r="D137" s="26">
        <f>773.7+0.897+1+2.365</f>
        <v>777.9620000000001</v>
      </c>
      <c r="E137" s="55">
        <f>541.9+0.95</f>
        <v>542.85</v>
      </c>
      <c r="F137" s="26">
        <v>32.4</v>
      </c>
      <c r="G137" s="26">
        <f>H137+K137</f>
        <v>37.3</v>
      </c>
      <c r="H137" s="26">
        <v>37.3</v>
      </c>
      <c r="I137" s="26">
        <v>27.37</v>
      </c>
      <c r="J137" s="26"/>
      <c r="K137" s="26"/>
      <c r="L137" s="26"/>
      <c r="M137" s="26"/>
      <c r="N137" s="26">
        <f t="shared" si="14"/>
        <v>815.2620000000001</v>
      </c>
      <c r="O137" s="23"/>
    </row>
    <row r="138" spans="1:15" ht="19.5" customHeight="1">
      <c r="A138" s="71" t="s">
        <v>320</v>
      </c>
      <c r="B138" s="41"/>
      <c r="C138" s="17" t="s">
        <v>321</v>
      </c>
      <c r="D138" s="26">
        <f>D139</f>
        <v>214.974</v>
      </c>
      <c r="E138" s="26">
        <f aca="true" t="shared" si="15" ref="E138:M138">E139</f>
        <v>142.2</v>
      </c>
      <c r="F138" s="26">
        <f t="shared" si="15"/>
        <v>12.9</v>
      </c>
      <c r="G138" s="26">
        <f t="shared" si="15"/>
        <v>1.4</v>
      </c>
      <c r="H138" s="26">
        <f t="shared" si="15"/>
        <v>1.4</v>
      </c>
      <c r="I138" s="26">
        <f t="shared" si="15"/>
        <v>0</v>
      </c>
      <c r="J138" s="26">
        <f t="shared" si="15"/>
        <v>0</v>
      </c>
      <c r="K138" s="26">
        <f t="shared" si="15"/>
        <v>0</v>
      </c>
      <c r="L138" s="26">
        <f t="shared" si="15"/>
        <v>0</v>
      </c>
      <c r="M138" s="26">
        <f t="shared" si="15"/>
        <v>0</v>
      </c>
      <c r="N138" s="26">
        <f t="shared" si="14"/>
        <v>216.374</v>
      </c>
      <c r="O138" s="23"/>
    </row>
    <row r="139" spans="1:15" ht="15.75">
      <c r="A139" s="71" t="s">
        <v>270</v>
      </c>
      <c r="B139" s="41" t="s">
        <v>22</v>
      </c>
      <c r="C139" s="17" t="s">
        <v>276</v>
      </c>
      <c r="D139" s="26">
        <f>207.9+2.349+2.12+2.605</f>
        <v>214.974</v>
      </c>
      <c r="E139" s="55">
        <f>137+5.2</f>
        <v>142.2</v>
      </c>
      <c r="F139" s="26">
        <f>15.4-2.5</f>
        <v>12.9</v>
      </c>
      <c r="G139" s="26">
        <f>H139+K139</f>
        <v>1.4</v>
      </c>
      <c r="H139" s="26">
        <v>1.4</v>
      </c>
      <c r="I139" s="21"/>
      <c r="J139" s="26"/>
      <c r="K139" s="26"/>
      <c r="L139" s="26"/>
      <c r="M139" s="26"/>
      <c r="N139" s="26">
        <f t="shared" si="14"/>
        <v>216.374</v>
      </c>
      <c r="O139" s="23"/>
    </row>
    <row r="140" spans="1:15" ht="15.75">
      <c r="A140" s="71"/>
      <c r="B140" s="41"/>
      <c r="C140" s="16" t="s">
        <v>9</v>
      </c>
      <c r="D140" s="29">
        <f aca="true" t="shared" si="16" ref="D140:M140">D134+D135+D136+D137+D139</f>
        <v>3937.157</v>
      </c>
      <c r="E140" s="29">
        <f t="shared" si="16"/>
        <v>2583.1499999999996</v>
      </c>
      <c r="F140" s="29">
        <f t="shared" si="16"/>
        <v>291.9</v>
      </c>
      <c r="G140" s="29">
        <f>G134+G135+G136+G137+G139</f>
        <v>66.55000000000001</v>
      </c>
      <c r="H140" s="29">
        <f t="shared" si="16"/>
        <v>50.699999999999996</v>
      </c>
      <c r="I140" s="29">
        <f t="shared" si="16"/>
        <v>27.37</v>
      </c>
      <c r="J140" s="29">
        <f t="shared" si="16"/>
        <v>0</v>
      </c>
      <c r="K140" s="29">
        <f t="shared" si="16"/>
        <v>15.850000000000001</v>
      </c>
      <c r="L140" s="29">
        <f t="shared" si="16"/>
        <v>15.850000000000001</v>
      </c>
      <c r="M140" s="29">
        <f t="shared" si="16"/>
        <v>15.850000000000001</v>
      </c>
      <c r="N140" s="29">
        <f t="shared" si="14"/>
        <v>4003.7070000000003</v>
      </c>
      <c r="O140" s="23"/>
    </row>
    <row r="141" spans="1:15" ht="14.25" customHeight="1" hidden="1">
      <c r="A141" s="71"/>
      <c r="B141" s="41"/>
      <c r="C141" s="7"/>
      <c r="D141" s="29"/>
      <c r="E141" s="26"/>
      <c r="F141" s="26"/>
      <c r="G141" s="26"/>
      <c r="H141" s="26"/>
      <c r="I141" s="26"/>
      <c r="J141" s="26"/>
      <c r="K141" s="26"/>
      <c r="L141" s="26"/>
      <c r="M141" s="26"/>
      <c r="N141" s="26">
        <f t="shared" si="14"/>
        <v>0</v>
      </c>
      <c r="O141" s="23"/>
    </row>
    <row r="142" spans="1:15" ht="14.25" customHeight="1">
      <c r="A142" s="71"/>
      <c r="B142" s="41"/>
      <c r="C142" s="7"/>
      <c r="D142" s="29"/>
      <c r="E142" s="26"/>
      <c r="F142" s="26"/>
      <c r="G142" s="26"/>
      <c r="H142" s="26"/>
      <c r="I142" s="26"/>
      <c r="J142" s="26"/>
      <c r="K142" s="26"/>
      <c r="L142" s="26"/>
      <c r="M142" s="26"/>
      <c r="N142" s="26"/>
      <c r="O142" s="23"/>
    </row>
    <row r="143" spans="1:15" ht="21.75" customHeight="1">
      <c r="A143" s="71" t="s">
        <v>288</v>
      </c>
      <c r="B143" s="41"/>
      <c r="C143" s="16" t="s">
        <v>2</v>
      </c>
      <c r="D143" s="26"/>
      <c r="E143" s="26"/>
      <c r="F143" s="26"/>
      <c r="G143" s="26"/>
      <c r="H143" s="26"/>
      <c r="I143" s="26"/>
      <c r="J143" s="26"/>
      <c r="K143" s="26"/>
      <c r="L143" s="26"/>
      <c r="M143" s="26"/>
      <c r="N143" s="26"/>
      <c r="O143" s="23"/>
    </row>
    <row r="144" spans="1:15" ht="51" customHeight="1" hidden="1">
      <c r="A144" s="71"/>
      <c r="B144" s="41"/>
      <c r="C144" s="16" t="s">
        <v>2</v>
      </c>
      <c r="D144" s="26"/>
      <c r="E144" s="26"/>
      <c r="F144" s="26"/>
      <c r="G144" s="26"/>
      <c r="H144" s="26"/>
      <c r="I144" s="26"/>
      <c r="J144" s="26"/>
      <c r="K144" s="26"/>
      <c r="L144" s="26"/>
      <c r="M144" s="26"/>
      <c r="N144" s="26">
        <f aca="true" t="shared" si="17" ref="N144:N160">SUM(D144,G144)</f>
        <v>0</v>
      </c>
      <c r="O144" s="23"/>
    </row>
    <row r="145" spans="1:15" ht="20.25" customHeight="1">
      <c r="A145" s="71" t="s">
        <v>289</v>
      </c>
      <c r="B145" s="41"/>
      <c r="C145" s="16" t="s">
        <v>2</v>
      </c>
      <c r="D145" s="26"/>
      <c r="E145" s="26"/>
      <c r="F145" s="26"/>
      <c r="G145" s="26"/>
      <c r="H145" s="26"/>
      <c r="I145" s="26"/>
      <c r="J145" s="26"/>
      <c r="K145" s="26"/>
      <c r="L145" s="26"/>
      <c r="M145" s="26"/>
      <c r="N145" s="26"/>
      <c r="O145" s="23"/>
    </row>
    <row r="146" spans="1:15" ht="17.25" customHeight="1">
      <c r="A146" s="71" t="s">
        <v>271</v>
      </c>
      <c r="B146" s="41" t="s">
        <v>123</v>
      </c>
      <c r="C146" s="17" t="s">
        <v>124</v>
      </c>
      <c r="D146" s="26">
        <v>10</v>
      </c>
      <c r="E146" s="26"/>
      <c r="F146" s="26"/>
      <c r="G146" s="26"/>
      <c r="H146" s="26"/>
      <c r="I146" s="26"/>
      <c r="J146" s="26"/>
      <c r="K146" s="26"/>
      <c r="L146" s="26"/>
      <c r="M146" s="26"/>
      <c r="N146" s="26">
        <f t="shared" si="17"/>
        <v>10</v>
      </c>
      <c r="O146" s="23"/>
    </row>
    <row r="147" spans="1:15" ht="47.25" customHeight="1">
      <c r="A147" s="71" t="s">
        <v>272</v>
      </c>
      <c r="B147" s="81">
        <v>250311</v>
      </c>
      <c r="C147" s="37" t="s">
        <v>107</v>
      </c>
      <c r="D147" s="26">
        <v>7269.926</v>
      </c>
      <c r="E147" s="26"/>
      <c r="F147" s="26"/>
      <c r="G147" s="26"/>
      <c r="H147" s="26"/>
      <c r="I147" s="26"/>
      <c r="J147" s="26"/>
      <c r="K147" s="26"/>
      <c r="L147" s="26"/>
      <c r="M147" s="26"/>
      <c r="N147" s="26">
        <f t="shared" si="17"/>
        <v>7269.926</v>
      </c>
      <c r="O147" s="23"/>
    </row>
    <row r="148" spans="1:15" ht="48" customHeight="1">
      <c r="A148" s="71" t="s">
        <v>273</v>
      </c>
      <c r="B148" s="41" t="s">
        <v>84</v>
      </c>
      <c r="C148" s="27" t="s">
        <v>108</v>
      </c>
      <c r="D148" s="26">
        <v>582.4</v>
      </c>
      <c r="E148" s="26"/>
      <c r="F148" s="26"/>
      <c r="G148" s="26"/>
      <c r="H148" s="26"/>
      <c r="I148" s="26"/>
      <c r="J148" s="26"/>
      <c r="K148" s="26"/>
      <c r="L148" s="26"/>
      <c r="M148" s="26"/>
      <c r="N148" s="26">
        <f t="shared" si="17"/>
        <v>582.4</v>
      </c>
      <c r="O148" s="23"/>
    </row>
    <row r="149" spans="1:15" ht="64.5" customHeight="1" hidden="1">
      <c r="A149" s="71"/>
      <c r="B149" s="41"/>
      <c r="C149" s="27"/>
      <c r="D149" s="26"/>
      <c r="E149" s="26"/>
      <c r="F149" s="26"/>
      <c r="G149" s="26"/>
      <c r="H149" s="26"/>
      <c r="I149" s="26"/>
      <c r="J149" s="26"/>
      <c r="K149" s="26"/>
      <c r="L149" s="26"/>
      <c r="M149" s="26"/>
      <c r="N149" s="26">
        <f t="shared" si="17"/>
        <v>0</v>
      </c>
      <c r="O149" s="23"/>
    </row>
    <row r="150" spans="1:15" ht="52.5" customHeight="1">
      <c r="A150" s="71" t="s">
        <v>274</v>
      </c>
      <c r="B150" s="41" t="s">
        <v>127</v>
      </c>
      <c r="C150" s="27" t="s">
        <v>277</v>
      </c>
      <c r="D150" s="26">
        <v>14</v>
      </c>
      <c r="E150" s="26"/>
      <c r="F150" s="26"/>
      <c r="G150" s="26"/>
      <c r="H150" s="26"/>
      <c r="I150" s="26"/>
      <c r="J150" s="26"/>
      <c r="K150" s="26"/>
      <c r="L150" s="26"/>
      <c r="M150" s="26"/>
      <c r="N150" s="26">
        <f t="shared" si="17"/>
        <v>14</v>
      </c>
      <c r="O150" s="23"/>
    </row>
    <row r="151" spans="1:15" ht="71.25" customHeight="1">
      <c r="A151" s="71" t="s">
        <v>275</v>
      </c>
      <c r="B151" s="41" t="s">
        <v>110</v>
      </c>
      <c r="C151" s="27" t="s">
        <v>111</v>
      </c>
      <c r="D151" s="26"/>
      <c r="E151" s="26"/>
      <c r="F151" s="26"/>
      <c r="G151" s="60">
        <f>H151+K151</f>
        <v>940.4</v>
      </c>
      <c r="H151" s="60">
        <f>300.9</f>
        <v>300.9</v>
      </c>
      <c r="I151" s="26"/>
      <c r="J151" s="26"/>
      <c r="K151" s="60">
        <f>639.5</f>
        <v>639.5</v>
      </c>
      <c r="L151" s="26"/>
      <c r="M151" s="26"/>
      <c r="N151" s="26">
        <f t="shared" si="17"/>
        <v>940.4</v>
      </c>
      <c r="O151" s="23"/>
    </row>
    <row r="152" spans="1:15" ht="28.5" customHeight="1">
      <c r="A152" s="71" t="s">
        <v>322</v>
      </c>
      <c r="B152" s="41"/>
      <c r="C152" s="27" t="s">
        <v>323</v>
      </c>
      <c r="D152" s="26">
        <f>D153+D154+D155+D156</f>
        <v>165</v>
      </c>
      <c r="E152" s="26"/>
      <c r="F152" s="26"/>
      <c r="G152" s="60">
        <f>G153+G154+G155+G160</f>
        <v>131.04299</v>
      </c>
      <c r="H152" s="60">
        <f>H153+H154+H155+H160</f>
        <v>76.94471999999999</v>
      </c>
      <c r="I152" s="60"/>
      <c r="J152" s="60"/>
      <c r="K152" s="60">
        <f>K153+K154+K155+K160</f>
        <v>54.09827</v>
      </c>
      <c r="L152" s="60"/>
      <c r="M152" s="60"/>
      <c r="N152" s="60">
        <f>N153+N154+N155+N160</f>
        <v>256.04299000000003</v>
      </c>
      <c r="O152" s="23"/>
    </row>
    <row r="153" spans="1:15" ht="79.5" customHeight="1">
      <c r="A153" s="71" t="s">
        <v>278</v>
      </c>
      <c r="B153" s="41" t="s">
        <v>114</v>
      </c>
      <c r="C153" s="66" t="s">
        <v>128</v>
      </c>
      <c r="D153" s="26"/>
      <c r="E153" s="26"/>
      <c r="F153" s="26"/>
      <c r="G153" s="60">
        <f>H153+K153</f>
        <v>125.1116</v>
      </c>
      <c r="H153" s="60">
        <f>71.01333</f>
        <v>71.01333</v>
      </c>
      <c r="I153" s="26"/>
      <c r="J153" s="26"/>
      <c r="K153" s="60">
        <v>54.09827</v>
      </c>
      <c r="L153" s="26"/>
      <c r="M153" s="26"/>
      <c r="N153" s="60">
        <f t="shared" si="17"/>
        <v>125.1116</v>
      </c>
      <c r="O153" s="23"/>
    </row>
    <row r="154" spans="1:15" ht="52.5" customHeight="1">
      <c r="A154" s="71" t="s">
        <v>279</v>
      </c>
      <c r="B154" s="41" t="s">
        <v>114</v>
      </c>
      <c r="C154" s="27" t="s">
        <v>122</v>
      </c>
      <c r="D154" s="26">
        <v>120</v>
      </c>
      <c r="E154" s="26"/>
      <c r="F154" s="26"/>
      <c r="G154" s="26"/>
      <c r="H154" s="26"/>
      <c r="I154" s="26"/>
      <c r="J154" s="26"/>
      <c r="K154" s="26"/>
      <c r="L154" s="26"/>
      <c r="M154" s="26"/>
      <c r="N154" s="26">
        <f t="shared" si="17"/>
        <v>120</v>
      </c>
      <c r="O154" s="23"/>
    </row>
    <row r="155" spans="1:15" ht="83.25" customHeight="1">
      <c r="A155" s="71" t="s">
        <v>280</v>
      </c>
      <c r="B155" s="41" t="s">
        <v>114</v>
      </c>
      <c r="C155" s="66" t="s">
        <v>129</v>
      </c>
      <c r="D155" s="26">
        <v>5</v>
      </c>
      <c r="E155" s="26"/>
      <c r="F155" s="26"/>
      <c r="G155" s="26"/>
      <c r="H155" s="26"/>
      <c r="I155" s="26"/>
      <c r="J155" s="26"/>
      <c r="K155" s="26"/>
      <c r="L155" s="26"/>
      <c r="M155" s="26"/>
      <c r="N155" s="26">
        <f t="shared" si="17"/>
        <v>5</v>
      </c>
      <c r="O155" s="23"/>
    </row>
    <row r="156" spans="1:15" ht="66" customHeight="1">
      <c r="A156" s="71" t="s">
        <v>343</v>
      </c>
      <c r="B156" s="41" t="s">
        <v>114</v>
      </c>
      <c r="C156" s="66" t="s">
        <v>344</v>
      </c>
      <c r="D156" s="49">
        <v>40</v>
      </c>
      <c r="E156" s="26"/>
      <c r="F156" s="26"/>
      <c r="G156" s="26"/>
      <c r="H156" s="26"/>
      <c r="I156" s="26"/>
      <c r="J156" s="26"/>
      <c r="K156" s="26"/>
      <c r="L156" s="26"/>
      <c r="M156" s="26"/>
      <c r="N156" s="26">
        <f t="shared" si="17"/>
        <v>40</v>
      </c>
      <c r="O156" s="23"/>
    </row>
    <row r="157" spans="1:15" ht="21" customHeight="1">
      <c r="A157" s="71"/>
      <c r="B157" s="41"/>
      <c r="C157" s="17" t="s">
        <v>345</v>
      </c>
      <c r="D157" s="89"/>
      <c r="E157" s="26"/>
      <c r="F157" s="26"/>
      <c r="G157" s="26"/>
      <c r="H157" s="26"/>
      <c r="I157" s="26"/>
      <c r="J157" s="26"/>
      <c r="K157" s="26"/>
      <c r="L157" s="26"/>
      <c r="M157" s="26"/>
      <c r="N157" s="26"/>
      <c r="O157" s="23"/>
    </row>
    <row r="158" spans="1:15" ht="70.5" customHeight="1">
      <c r="A158" s="71"/>
      <c r="B158" s="41"/>
      <c r="C158" s="17" t="s">
        <v>346</v>
      </c>
      <c r="D158" s="49">
        <v>20</v>
      </c>
      <c r="E158" s="26"/>
      <c r="F158" s="26"/>
      <c r="G158" s="26"/>
      <c r="H158" s="26"/>
      <c r="I158" s="26"/>
      <c r="J158" s="26"/>
      <c r="K158" s="26"/>
      <c r="L158" s="26"/>
      <c r="M158" s="26"/>
      <c r="N158" s="26">
        <f t="shared" si="17"/>
        <v>20</v>
      </c>
      <c r="O158" s="23"/>
    </row>
    <row r="159" spans="1:15" ht="49.5" customHeight="1">
      <c r="A159" s="71"/>
      <c r="B159" s="41"/>
      <c r="C159" s="17" t="s">
        <v>347</v>
      </c>
      <c r="D159" s="49">
        <v>20</v>
      </c>
      <c r="E159" s="26"/>
      <c r="F159" s="26"/>
      <c r="G159" s="26"/>
      <c r="H159" s="26"/>
      <c r="I159" s="26"/>
      <c r="J159" s="26"/>
      <c r="K159" s="26"/>
      <c r="L159" s="26"/>
      <c r="M159" s="26"/>
      <c r="N159" s="26">
        <f t="shared" si="17"/>
        <v>20</v>
      </c>
      <c r="O159" s="23"/>
    </row>
    <row r="160" spans="1:15" ht="90.75" customHeight="1">
      <c r="A160" s="71" t="s">
        <v>349</v>
      </c>
      <c r="B160" s="41" t="s">
        <v>114</v>
      </c>
      <c r="C160" s="91" t="s">
        <v>350</v>
      </c>
      <c r="D160" s="49"/>
      <c r="E160" s="26"/>
      <c r="F160" s="26"/>
      <c r="G160" s="60">
        <f>H160+K160</f>
        <v>5.93139</v>
      </c>
      <c r="H160" s="60">
        <f>5.90001+0.03138</f>
        <v>5.93139</v>
      </c>
      <c r="I160" s="60"/>
      <c r="J160" s="60"/>
      <c r="K160" s="60"/>
      <c r="L160" s="60"/>
      <c r="M160" s="60"/>
      <c r="N160" s="60">
        <f t="shared" si="17"/>
        <v>5.93139</v>
      </c>
      <c r="O160" s="23"/>
    </row>
    <row r="161" spans="1:15" ht="19.5" customHeight="1">
      <c r="A161" s="78"/>
      <c r="B161" s="41"/>
      <c r="C161" s="38" t="s">
        <v>3</v>
      </c>
      <c r="D161" s="53">
        <f>D147+D148+D151+D154+D146+D150+D155+D156</f>
        <v>8041.326</v>
      </c>
      <c r="E161" s="6"/>
      <c r="F161" s="21"/>
      <c r="G161" s="64">
        <f>H161+K161</f>
        <v>1071.44299</v>
      </c>
      <c r="H161" s="64">
        <f>H147+H148+H151+H154+H146+H150+H155+H153+H160</f>
        <v>377.84472</v>
      </c>
      <c r="I161" s="53">
        <f>I147+I148+I151+I154+I146+I150+I155+I153</f>
        <v>0</v>
      </c>
      <c r="J161" s="53">
        <f>J147+J148+J151+J154+J146+J150+J155+J153</f>
        <v>0</v>
      </c>
      <c r="K161" s="64">
        <f>K147+K148+K151+K154+K146+K150+K155+K153</f>
        <v>693.59827</v>
      </c>
      <c r="L161" s="53">
        <f>L147+L148+L151+L154+L146+L150+L155+L153</f>
        <v>0</v>
      </c>
      <c r="M161" s="53">
        <f>M147+M148+M151</f>
        <v>0</v>
      </c>
      <c r="N161" s="60">
        <f>SUM(D161,G161)</f>
        <v>9112.76899</v>
      </c>
      <c r="O161" s="23"/>
    </row>
    <row r="162" spans="1:15" ht="61.5" customHeight="1" hidden="1">
      <c r="A162" s="78"/>
      <c r="B162" s="41"/>
      <c r="C162" s="37"/>
      <c r="D162" s="26"/>
      <c r="E162" s="26"/>
      <c r="F162" s="26"/>
      <c r="G162" s="26"/>
      <c r="H162" s="26"/>
      <c r="I162" s="26"/>
      <c r="J162" s="26"/>
      <c r="K162" s="26"/>
      <c r="L162" s="26"/>
      <c r="M162" s="26"/>
      <c r="N162" s="26"/>
      <c r="O162" s="23"/>
    </row>
    <row r="163" spans="1:15" ht="18.75">
      <c r="A163" s="78"/>
      <c r="B163" s="41"/>
      <c r="C163" s="25" t="s">
        <v>91</v>
      </c>
      <c r="D163" s="65">
        <f>D161+D140+D129+D70+D55+D20</f>
        <v>142302.92721</v>
      </c>
      <c r="E163" s="65">
        <f>E161+E140+E129+E70+E55+E20</f>
        <v>46185.94208</v>
      </c>
      <c r="F163" s="29">
        <f>F161+F140+F129+F70+F55+F20</f>
        <v>7918.450000000001</v>
      </c>
      <c r="G163" s="65">
        <f>H163+K163</f>
        <v>2866.2599899999996</v>
      </c>
      <c r="H163" s="65">
        <f aca="true" t="shared" si="18" ref="H163:M163">H161+H140+H129+H70+H55+H20</f>
        <v>1175.24372</v>
      </c>
      <c r="I163" s="29">
        <f t="shared" si="18"/>
        <v>164.87</v>
      </c>
      <c r="J163" s="29">
        <f t="shared" si="18"/>
        <v>0</v>
      </c>
      <c r="K163" s="65">
        <f t="shared" si="18"/>
        <v>1691.0162699999998</v>
      </c>
      <c r="L163" s="29">
        <f t="shared" si="18"/>
        <v>663.5549999999998</v>
      </c>
      <c r="M163" s="29">
        <f t="shared" si="18"/>
        <v>436.945</v>
      </c>
      <c r="N163" s="65">
        <f>D163+G163</f>
        <v>145169.1872</v>
      </c>
      <c r="O163" s="23"/>
    </row>
    <row r="164" spans="1:17" ht="31.5">
      <c r="A164" s="78"/>
      <c r="B164" s="41"/>
      <c r="C164" s="8" t="s">
        <v>85</v>
      </c>
      <c r="D164" s="26">
        <v>55049.019</v>
      </c>
      <c r="E164" s="26"/>
      <c r="F164" s="26"/>
      <c r="G164" s="60">
        <v>1566.3736</v>
      </c>
      <c r="H164" s="60">
        <v>538.91233</v>
      </c>
      <c r="I164" s="26"/>
      <c r="J164" s="26"/>
      <c r="K164" s="60">
        <v>1027.46127</v>
      </c>
      <c r="L164" s="26">
        <f>L91</f>
        <v>0</v>
      </c>
      <c r="M164" s="26">
        <f>M91</f>
        <v>0</v>
      </c>
      <c r="N164" s="60">
        <f>G164+D164</f>
        <v>56615.3926</v>
      </c>
      <c r="O164" s="23"/>
      <c r="Q164" s="23"/>
    </row>
    <row r="165" spans="1:15" ht="42" customHeight="1">
      <c r="A165" s="78"/>
      <c r="B165" s="41"/>
      <c r="C165" s="96" t="s">
        <v>98</v>
      </c>
      <c r="D165" s="96"/>
      <c r="E165" s="6"/>
      <c r="G165" s="50"/>
      <c r="H165" s="93" t="s">
        <v>99</v>
      </c>
      <c r="I165" s="93"/>
      <c r="J165" s="93"/>
      <c r="K165" s="93"/>
      <c r="L165" s="11"/>
      <c r="M165" s="15" t="s">
        <v>83</v>
      </c>
      <c r="N165" s="11"/>
      <c r="O165" s="63"/>
    </row>
    <row r="166" spans="1:14" ht="12.75" customHeight="1">
      <c r="A166" s="78"/>
      <c r="B166" s="41"/>
      <c r="C166" s="7"/>
      <c r="D166" s="21"/>
      <c r="E166" s="21"/>
      <c r="F166" s="21"/>
      <c r="G166" s="11"/>
      <c r="H166" s="11"/>
      <c r="I166" s="11"/>
      <c r="J166" s="11"/>
      <c r="K166" s="11"/>
      <c r="L166" s="11"/>
      <c r="M166" s="11"/>
      <c r="N166" s="11"/>
    </row>
    <row r="167" spans="1:6" ht="15.75" hidden="1">
      <c r="A167" s="78"/>
      <c r="B167" s="41"/>
      <c r="C167" s="8"/>
      <c r="D167" s="23"/>
      <c r="E167" s="23"/>
      <c r="F167" s="23"/>
    </row>
    <row r="168" spans="1:14" ht="15.75" hidden="1">
      <c r="A168" s="78"/>
      <c r="B168" s="41"/>
      <c r="C168" s="13"/>
      <c r="D168" s="22"/>
      <c r="E168" s="22"/>
      <c r="F168" s="22"/>
      <c r="G168" s="14">
        <f>SUM(H168,K168)</f>
        <v>4</v>
      </c>
      <c r="H168" s="14">
        <f>SUM(H16)</f>
        <v>2</v>
      </c>
      <c r="I168" s="14">
        <f>SUM(I16)</f>
        <v>0</v>
      </c>
      <c r="J168" s="14">
        <f>SUM(J16)</f>
        <v>0</v>
      </c>
      <c r="K168" s="14">
        <f>SUM(K16)</f>
        <v>2</v>
      </c>
      <c r="L168" s="14"/>
      <c r="M168" s="14"/>
      <c r="N168" s="14" t="e">
        <f>SUM(#REF!,G168)</f>
        <v>#REF!</v>
      </c>
    </row>
    <row r="169" spans="1:14" ht="15.75" hidden="1">
      <c r="A169" s="78"/>
      <c r="B169" s="41"/>
      <c r="C169" s="13"/>
      <c r="D169" s="22"/>
      <c r="E169" s="22"/>
      <c r="F169" s="22"/>
      <c r="G169" s="14" t="e">
        <f aca="true" t="shared" si="19" ref="G169:G188">SUM(H169,K169)</f>
        <v>#REF!</v>
      </c>
      <c r="H169" s="14" t="e">
        <f>SUM(#REF!)</f>
        <v>#REF!</v>
      </c>
      <c r="I169" s="14" t="e">
        <f>SUM(#REF!)</f>
        <v>#REF!</v>
      </c>
      <c r="J169" s="14" t="e">
        <f>SUM(#REF!)</f>
        <v>#REF!</v>
      </c>
      <c r="K169" s="14" t="e">
        <f>SUM(#REF!)</f>
        <v>#REF!</v>
      </c>
      <c r="L169" s="14"/>
      <c r="M169" s="14"/>
      <c r="N169" s="14" t="e">
        <f>SUM(#REF!,G169)</f>
        <v>#REF!</v>
      </c>
    </row>
    <row r="170" spans="1:14" ht="15.75" hidden="1">
      <c r="A170" s="78"/>
      <c r="B170" s="41"/>
      <c r="C170" s="13"/>
      <c r="D170" s="22"/>
      <c r="E170" s="22"/>
      <c r="F170" s="22"/>
      <c r="G170" s="14" t="e">
        <f t="shared" si="19"/>
        <v>#REF!</v>
      </c>
      <c r="H170" s="14" t="e">
        <f>SUM(H55,#REF!,#REF!,#REF!,#REF!)</f>
        <v>#REF!</v>
      </c>
      <c r="I170" s="14" t="e">
        <f>SUM(I55,#REF!,#REF!,#REF!,#REF!)</f>
        <v>#REF!</v>
      </c>
      <c r="J170" s="14" t="e">
        <f>SUM(J55,#REF!,#REF!,#REF!,#REF!)</f>
        <v>#REF!</v>
      </c>
      <c r="K170" s="14" t="e">
        <f>SUM(K55,#REF!,#REF!,#REF!,#REF!)</f>
        <v>#REF!</v>
      </c>
      <c r="L170" s="14"/>
      <c r="M170" s="14"/>
      <c r="N170" s="14" t="e">
        <f>SUM(#REF!,G170)</f>
        <v>#REF!</v>
      </c>
    </row>
    <row r="171" spans="1:14" ht="15.75" hidden="1">
      <c r="A171" s="78"/>
      <c r="B171" s="41"/>
      <c r="C171" s="13"/>
      <c r="D171" s="22"/>
      <c r="E171" s="22"/>
      <c r="F171" s="22"/>
      <c r="G171" s="14">
        <f t="shared" si="19"/>
        <v>545.1949999999999</v>
      </c>
      <c r="H171" s="14">
        <f>SUM(H58)</f>
        <v>20.2</v>
      </c>
      <c r="I171" s="14">
        <f>SUM(I58)</f>
        <v>0</v>
      </c>
      <c r="J171" s="14">
        <f>SUM(J58)</f>
        <v>0</v>
      </c>
      <c r="K171" s="14">
        <f>SUM(K58)</f>
        <v>524.9949999999999</v>
      </c>
      <c r="L171" s="14"/>
      <c r="M171" s="14"/>
      <c r="N171" s="14" t="e">
        <f>SUM(#REF!,G171)</f>
        <v>#REF!</v>
      </c>
    </row>
    <row r="172" spans="1:14" ht="15.75" hidden="1">
      <c r="A172" s="78"/>
      <c r="B172" s="41"/>
      <c r="C172" s="13"/>
      <c r="D172" s="22"/>
      <c r="E172" s="22"/>
      <c r="F172" s="22"/>
      <c r="G172" s="14" t="e">
        <f t="shared" si="19"/>
        <v>#REF!</v>
      </c>
      <c r="H172" s="14" t="e">
        <f>SUM(H75:H91,#REF!)</f>
        <v>#REF!</v>
      </c>
      <c r="I172" s="14" t="e">
        <f>SUM(I75:I91,#REF!)</f>
        <v>#REF!</v>
      </c>
      <c r="J172" s="14" t="e">
        <f>SUM(J75:J91,#REF!)</f>
        <v>#REF!</v>
      </c>
      <c r="K172" s="14" t="e">
        <f>SUM(K75:K91,#REF!)</f>
        <v>#REF!</v>
      </c>
      <c r="L172" s="14"/>
      <c r="M172" s="14"/>
      <c r="N172" s="14" t="e">
        <f>SUM(#REF!,G172)</f>
        <v>#REF!</v>
      </c>
    </row>
    <row r="173" spans="1:14" ht="12.75" customHeight="1" hidden="1">
      <c r="A173" s="78"/>
      <c r="B173" s="41"/>
      <c r="C173" s="13"/>
      <c r="D173" s="22"/>
      <c r="E173" s="22"/>
      <c r="F173" s="22"/>
      <c r="G173" s="14" t="e">
        <f>SUM(#REF!)</f>
        <v>#REF!</v>
      </c>
      <c r="H173" s="14" t="e">
        <f>SUM(#REF!)</f>
        <v>#REF!</v>
      </c>
      <c r="I173" s="14" t="e">
        <f>SUM(#REF!)</f>
        <v>#REF!</v>
      </c>
      <c r="J173" s="14" t="e">
        <f>SUM(#REF!)</f>
        <v>#REF!</v>
      </c>
      <c r="K173" s="14" t="e">
        <f>SUM(#REF!)</f>
        <v>#REF!</v>
      </c>
      <c r="L173" s="14"/>
      <c r="M173" s="14"/>
      <c r="N173" s="14" t="e">
        <f>SUM(#REF!,G173)</f>
        <v>#REF!</v>
      </c>
    </row>
    <row r="174" spans="1:14" ht="15.75" hidden="1">
      <c r="A174" s="78"/>
      <c r="B174" s="41"/>
      <c r="C174" s="13"/>
      <c r="D174" s="22"/>
      <c r="E174" s="22"/>
      <c r="F174" s="22"/>
      <c r="G174" s="14" t="e">
        <f t="shared" si="19"/>
        <v>#REF!</v>
      </c>
      <c r="H174" s="14" t="e">
        <f>SUM(#REF!,H133)</f>
        <v>#REF!</v>
      </c>
      <c r="I174" s="14" t="e">
        <f>SUM(#REF!,I133)</f>
        <v>#REF!</v>
      </c>
      <c r="J174" s="14" t="e">
        <f>SUM(#REF!,J133)</f>
        <v>#REF!</v>
      </c>
      <c r="K174" s="14" t="e">
        <f>SUM(#REF!,K133)</f>
        <v>#REF!</v>
      </c>
      <c r="L174" s="14"/>
      <c r="M174" s="14"/>
      <c r="N174" s="14" t="e">
        <f>SUM(#REF!,G174)</f>
        <v>#REF!</v>
      </c>
    </row>
    <row r="175" spans="1:14" ht="15.75" hidden="1">
      <c r="A175" s="78"/>
      <c r="B175" s="41"/>
      <c r="C175" s="13"/>
      <c r="D175" s="22"/>
      <c r="E175" s="22"/>
      <c r="F175" s="22"/>
      <c r="G175" s="14" t="e">
        <f t="shared" si="19"/>
        <v>#REF!</v>
      </c>
      <c r="H175" s="14" t="e">
        <f>SUM(#REF!,#REF!)</f>
        <v>#REF!</v>
      </c>
      <c r="I175" s="14" t="e">
        <f>SUM(#REF!,#REF!)</f>
        <v>#REF!</v>
      </c>
      <c r="J175" s="14" t="e">
        <f>SUM(#REF!,#REF!)</f>
        <v>#REF!</v>
      </c>
      <c r="K175" s="14" t="e">
        <f>SUM(#REF!,#REF!)</f>
        <v>#REF!</v>
      </c>
      <c r="L175" s="14"/>
      <c r="M175" s="14"/>
      <c r="N175" s="14" t="e">
        <f>SUM(#REF!,G175)</f>
        <v>#REF!</v>
      </c>
    </row>
    <row r="176" spans="1:14" ht="15.75" hidden="1">
      <c r="A176" s="78"/>
      <c r="B176" s="41"/>
      <c r="C176" s="13"/>
      <c r="D176" s="22"/>
      <c r="E176" s="22"/>
      <c r="F176" s="22"/>
      <c r="G176" s="14" t="e">
        <f t="shared" si="19"/>
        <v>#REF!</v>
      </c>
      <c r="H176" s="14" t="e">
        <f>SUM(#REF!)</f>
        <v>#REF!</v>
      </c>
      <c r="I176" s="14" t="e">
        <f>SUM(#REF!)</f>
        <v>#REF!</v>
      </c>
      <c r="J176" s="14" t="e">
        <f>SUM(#REF!)</f>
        <v>#REF!</v>
      </c>
      <c r="K176" s="14" t="e">
        <f>SUM(#REF!)</f>
        <v>#REF!</v>
      </c>
      <c r="L176" s="14"/>
      <c r="M176" s="14"/>
      <c r="N176" s="14" t="e">
        <f>SUM(#REF!,G176)</f>
        <v>#REF!</v>
      </c>
    </row>
    <row r="177" spans="1:14" ht="15.75" hidden="1">
      <c r="A177" s="78"/>
      <c r="B177" s="41"/>
      <c r="C177" s="13"/>
      <c r="D177" s="22"/>
      <c r="E177" s="22"/>
      <c r="F177" s="22"/>
      <c r="G177" s="14" t="e">
        <f t="shared" si="19"/>
        <v>#REF!</v>
      </c>
      <c r="H177" s="14" t="e">
        <f>SUM(#REF!,#REF!,#REF!,#REF!,#REF!,#REF!,#REF!,#REF!,#REF!,#REF!,#REF!)</f>
        <v>#REF!</v>
      </c>
      <c r="I177" s="14" t="e">
        <f>SUM(#REF!,#REF!,#REF!,#REF!,#REF!,#REF!,#REF!,#REF!,#REF!,#REF!,#REF!)</f>
        <v>#REF!</v>
      </c>
      <c r="J177" s="14" t="e">
        <f>SUM(#REF!,#REF!,#REF!,#REF!,#REF!,#REF!,#REF!,#REF!,#REF!,#REF!,#REF!)</f>
        <v>#REF!</v>
      </c>
      <c r="K177" s="14" t="e">
        <f>SUM(#REF!,#REF!,#REF!,#REF!,#REF!,#REF!,#REF!,#REF!,#REF!,#REF!,#REF!)</f>
        <v>#REF!</v>
      </c>
      <c r="L177" s="14"/>
      <c r="M177" s="14"/>
      <c r="N177" s="14" t="e">
        <f>SUM(#REF!,G177)</f>
        <v>#REF!</v>
      </c>
    </row>
    <row r="178" spans="1:14" ht="15.75" hidden="1">
      <c r="A178" s="78"/>
      <c r="B178" s="41"/>
      <c r="C178" s="13"/>
      <c r="D178" s="22"/>
      <c r="E178" s="22"/>
      <c r="F178" s="22"/>
      <c r="G178" s="14" t="e">
        <f t="shared" si="19"/>
        <v>#REF!</v>
      </c>
      <c r="H178" s="14" t="e">
        <f>SUM(#REF!)</f>
        <v>#REF!</v>
      </c>
      <c r="I178" s="14" t="e">
        <f>SUM(#REF!)</f>
        <v>#REF!</v>
      </c>
      <c r="J178" s="14" t="e">
        <f>SUM(#REF!)</f>
        <v>#REF!</v>
      </c>
      <c r="K178" s="14" t="e">
        <f>SUM(#REF!)</f>
        <v>#REF!</v>
      </c>
      <c r="L178" s="14"/>
      <c r="M178" s="14"/>
      <c r="N178" s="14" t="e">
        <f>SUM(#REF!,G178)</f>
        <v>#REF!</v>
      </c>
    </row>
    <row r="179" spans="1:14" ht="15.75" hidden="1">
      <c r="A179" s="78"/>
      <c r="B179" s="41"/>
      <c r="C179" s="13"/>
      <c r="D179" s="22"/>
      <c r="E179" s="22"/>
      <c r="F179" s="22"/>
      <c r="G179" s="14" t="e">
        <f t="shared" si="19"/>
        <v>#REF!</v>
      </c>
      <c r="H179" s="14" t="e">
        <f>SUM(#REF!,#REF!,#REF!,#REF!,#REF!,#REF!)</f>
        <v>#REF!</v>
      </c>
      <c r="I179" s="14" t="e">
        <f>SUM(#REF!,#REF!,#REF!,#REF!,#REF!,#REF!)</f>
        <v>#REF!</v>
      </c>
      <c r="J179" s="14" t="e">
        <f>SUM(#REF!,#REF!,#REF!,#REF!,#REF!,#REF!)</f>
        <v>#REF!</v>
      </c>
      <c r="K179" s="14" t="e">
        <f>SUM(#REF!,#REF!,#REF!,#REF!,#REF!,#REF!)</f>
        <v>#REF!</v>
      </c>
      <c r="L179" s="14"/>
      <c r="M179" s="14"/>
      <c r="N179" s="14" t="e">
        <f>SUM(#REF!,G179)</f>
        <v>#REF!</v>
      </c>
    </row>
    <row r="180" spans="1:14" ht="15.75" hidden="1">
      <c r="A180" s="78"/>
      <c r="B180" s="41"/>
      <c r="C180" s="13"/>
      <c r="D180" s="22"/>
      <c r="E180" s="22"/>
      <c r="F180" s="22"/>
      <c r="G180" s="14" t="e">
        <f t="shared" si="19"/>
        <v>#REF!</v>
      </c>
      <c r="H180" s="14" t="e">
        <f>SUM(#REF!,#REF!)</f>
        <v>#REF!</v>
      </c>
      <c r="I180" s="14" t="e">
        <f>SUM(#REF!,#REF!)</f>
        <v>#REF!</v>
      </c>
      <c r="J180" s="14" t="e">
        <f>SUM(#REF!,#REF!)</f>
        <v>#REF!</v>
      </c>
      <c r="K180" s="14" t="e">
        <f>SUM(#REF!,#REF!)</f>
        <v>#REF!</v>
      </c>
      <c r="L180" s="14"/>
      <c r="M180" s="14"/>
      <c r="N180" s="14" t="e">
        <f>SUM(#REF!,G180)</f>
        <v>#REF!</v>
      </c>
    </row>
    <row r="181" spans="1:14" ht="15.75" hidden="1">
      <c r="A181" s="78"/>
      <c r="B181" s="41"/>
      <c r="C181" s="13"/>
      <c r="D181" s="22"/>
      <c r="E181" s="22"/>
      <c r="F181" s="22"/>
      <c r="G181" s="14" t="e">
        <f t="shared" si="19"/>
        <v>#REF!</v>
      </c>
      <c r="H181" s="14" t="e">
        <f>SUM(#REF!)</f>
        <v>#REF!</v>
      </c>
      <c r="I181" s="14" t="e">
        <f>SUM(#REF!)</f>
        <v>#REF!</v>
      </c>
      <c r="J181" s="14" t="e">
        <f>SUM(#REF!)</f>
        <v>#REF!</v>
      </c>
      <c r="K181" s="14" t="e">
        <f>SUM(#REF!)</f>
        <v>#REF!</v>
      </c>
      <c r="L181" s="14"/>
      <c r="M181" s="14"/>
      <c r="N181" s="14" t="e">
        <f>SUM(#REF!,G181)</f>
        <v>#REF!</v>
      </c>
    </row>
    <row r="182" spans="1:14" ht="15.75" hidden="1">
      <c r="A182" s="78"/>
      <c r="B182" s="82"/>
      <c r="C182" s="13"/>
      <c r="D182" s="22"/>
      <c r="E182" s="22"/>
      <c r="F182" s="22"/>
      <c r="G182" s="14" t="e">
        <f t="shared" si="19"/>
        <v>#REF!</v>
      </c>
      <c r="H182" s="14" t="e">
        <f>SUM(#REF!,#REF!,#REF!,#REF!,#REF!)</f>
        <v>#REF!</v>
      </c>
      <c r="I182" s="14" t="e">
        <f>SUM(#REF!,#REF!,#REF!,#REF!,#REF!)</f>
        <v>#REF!</v>
      </c>
      <c r="J182" s="14" t="e">
        <f>SUM(#REF!,#REF!,#REF!,#REF!,#REF!)</f>
        <v>#REF!</v>
      </c>
      <c r="K182" s="14" t="e">
        <f>SUM(#REF!,#REF!,#REF!,#REF!,#REF!)</f>
        <v>#REF!</v>
      </c>
      <c r="L182" s="14"/>
      <c r="M182" s="14"/>
      <c r="N182" s="14" t="e">
        <f>SUM(#REF!,G182)</f>
        <v>#REF!</v>
      </c>
    </row>
    <row r="183" spans="1:14" ht="15.75" hidden="1">
      <c r="A183" s="78"/>
      <c r="B183" s="82"/>
      <c r="C183" s="13"/>
      <c r="D183" s="22"/>
      <c r="E183" s="22"/>
      <c r="F183" s="22"/>
      <c r="G183" s="14" t="e">
        <f>SUM(#REF!,#REF!,#REF!,#REF!,#REF!,G144)</f>
        <v>#REF!</v>
      </c>
      <c r="H183" s="14" t="e">
        <f>SUM(#REF!,#REF!,#REF!,#REF!,#REF!,H144)</f>
        <v>#REF!</v>
      </c>
      <c r="I183" s="14" t="e">
        <f>SUM(#REF!,#REF!,#REF!,#REF!,#REF!,I144)</f>
        <v>#REF!</v>
      </c>
      <c r="J183" s="14" t="e">
        <f>SUM(#REF!,#REF!,#REF!,#REF!,#REF!,J144)</f>
        <v>#REF!</v>
      </c>
      <c r="K183" s="14" t="e">
        <f>SUM(#REF!,#REF!,#REF!,#REF!,#REF!,K144)</f>
        <v>#REF!</v>
      </c>
      <c r="L183" s="14"/>
      <c r="M183" s="14"/>
      <c r="N183" s="14" t="e">
        <f>SUM(#REF!,G183)</f>
        <v>#REF!</v>
      </c>
    </row>
    <row r="184" spans="1:14" ht="20.25" customHeight="1" hidden="1">
      <c r="A184" s="78"/>
      <c r="B184" s="82"/>
      <c r="C184" s="13"/>
      <c r="D184" s="22"/>
      <c r="E184" s="22"/>
      <c r="F184" s="22"/>
      <c r="G184" s="14" t="e">
        <f t="shared" si="19"/>
        <v>#REF!</v>
      </c>
      <c r="H184" s="14" t="e">
        <f>SUM(#REF!)</f>
        <v>#REF!</v>
      </c>
      <c r="I184" s="14" t="e">
        <f>SUM(#REF!)</f>
        <v>#REF!</v>
      </c>
      <c r="J184" s="14" t="e">
        <f>SUM(#REF!)</f>
        <v>#REF!</v>
      </c>
      <c r="K184" s="14" t="e">
        <f>SUM(#REF!)</f>
        <v>#REF!</v>
      </c>
      <c r="L184" s="14"/>
      <c r="M184" s="14"/>
      <c r="N184" s="14" t="e">
        <f>SUM(#REF!,G184)</f>
        <v>#REF!</v>
      </c>
    </row>
    <row r="185" spans="1:14" ht="21" customHeight="1" hidden="1">
      <c r="A185" s="78"/>
      <c r="B185" s="82"/>
      <c r="C185" s="13"/>
      <c r="D185" s="22"/>
      <c r="E185" s="22"/>
      <c r="F185" s="22"/>
      <c r="G185" s="14" t="e">
        <f t="shared" si="19"/>
        <v>#REF!</v>
      </c>
      <c r="H185" s="14" t="e">
        <f>SUM(#REF!,#REF!)</f>
        <v>#REF!</v>
      </c>
      <c r="I185" s="14" t="e">
        <f>SUM(#REF!,#REF!)</f>
        <v>#REF!</v>
      </c>
      <c r="J185" s="14" t="e">
        <f>SUM(#REF!,#REF!)</f>
        <v>#REF!</v>
      </c>
      <c r="K185" s="14" t="e">
        <f>SUM(#REF!,#REF!)</f>
        <v>#REF!</v>
      </c>
      <c r="L185" s="14"/>
      <c r="M185" s="14"/>
      <c r="N185" s="14" t="e">
        <f>SUM(#REF!,G185)</f>
        <v>#REF!</v>
      </c>
    </row>
    <row r="186" spans="1:14" ht="24.75" customHeight="1" hidden="1">
      <c r="A186" s="78"/>
      <c r="B186" s="82"/>
      <c r="C186" s="13"/>
      <c r="D186" s="22"/>
      <c r="E186" s="22"/>
      <c r="F186" s="22"/>
      <c r="G186" s="14" t="e">
        <f t="shared" si="19"/>
        <v>#REF!</v>
      </c>
      <c r="H186" s="14" t="e">
        <f>SUM(#REF!,#REF!)</f>
        <v>#REF!</v>
      </c>
      <c r="I186" s="14" t="e">
        <f>SUM(#REF!,#REF!)</f>
        <v>#REF!</v>
      </c>
      <c r="J186" s="14" t="e">
        <f>SUM(#REF!,#REF!)</f>
        <v>#REF!</v>
      </c>
      <c r="K186" s="14" t="e">
        <f>SUM(#REF!,#REF!)</f>
        <v>#REF!</v>
      </c>
      <c r="L186" s="14"/>
      <c r="M186" s="14"/>
      <c r="N186" s="14" t="e">
        <f>SUM(#REF!,G186)</f>
        <v>#REF!</v>
      </c>
    </row>
    <row r="187" spans="1:14" ht="24.75" customHeight="1" hidden="1">
      <c r="A187" s="78"/>
      <c r="B187" s="82"/>
      <c r="C187" s="13"/>
      <c r="D187" s="22"/>
      <c r="E187" s="22"/>
      <c r="F187" s="22"/>
      <c r="G187" s="14">
        <f t="shared" si="19"/>
        <v>0</v>
      </c>
      <c r="H187" s="14"/>
      <c r="I187" s="14"/>
      <c r="J187" s="14"/>
      <c r="K187" s="14"/>
      <c r="L187" s="14"/>
      <c r="M187" s="14"/>
      <c r="N187" s="14" t="e">
        <f>SUM(#REF!,G187)</f>
        <v>#REF!</v>
      </c>
    </row>
    <row r="188" spans="1:14" ht="19.5" customHeight="1" hidden="1">
      <c r="A188" s="78"/>
      <c r="B188" s="82"/>
      <c r="C188" s="13"/>
      <c r="D188" s="22"/>
      <c r="E188" s="22"/>
      <c r="F188" s="22"/>
      <c r="G188" s="14" t="e">
        <f t="shared" si="19"/>
        <v>#REF!</v>
      </c>
      <c r="H188" s="14" t="e">
        <f>SUM(H168:H186)</f>
        <v>#REF!</v>
      </c>
      <c r="I188" s="14" t="e">
        <f>SUM(I168:I186)</f>
        <v>#REF!</v>
      </c>
      <c r="J188" s="14" t="e">
        <f>SUM(J168:J186)</f>
        <v>#REF!</v>
      </c>
      <c r="K188" s="14" t="e">
        <f>SUM(K168:K186)</f>
        <v>#REF!</v>
      </c>
      <c r="L188" s="14"/>
      <c r="M188" s="14"/>
      <c r="N188" s="14" t="e">
        <f>SUM(#REF!,G188)</f>
        <v>#REF!</v>
      </c>
    </row>
    <row r="189" spans="1:14" ht="19.5" customHeight="1">
      <c r="A189" s="78"/>
      <c r="B189" s="82"/>
      <c r="C189" s="13"/>
      <c r="D189" s="22"/>
      <c r="E189" s="22"/>
      <c r="F189" s="22"/>
      <c r="G189" s="14"/>
      <c r="H189" s="14"/>
      <c r="I189" s="14"/>
      <c r="J189" s="14"/>
      <c r="K189" s="14"/>
      <c r="L189" s="14"/>
      <c r="M189" s="14"/>
      <c r="N189" s="14"/>
    </row>
    <row r="190" spans="1:6" ht="15.75">
      <c r="A190" s="78"/>
      <c r="B190" s="82"/>
      <c r="C190" s="9"/>
      <c r="D190" s="23"/>
      <c r="E190" s="23"/>
      <c r="F190" s="23"/>
    </row>
    <row r="191" spans="1:15" ht="15.75">
      <c r="A191" s="78"/>
      <c r="B191" s="82"/>
      <c r="C191" s="9"/>
      <c r="D191" s="23"/>
      <c r="E191" s="23"/>
      <c r="F191" s="23"/>
      <c r="N191" s="23"/>
      <c r="O191" s="62"/>
    </row>
    <row r="192" spans="1:6" ht="15.75">
      <c r="A192" s="78"/>
      <c r="B192" s="82"/>
      <c r="C192" s="9"/>
      <c r="D192" s="23"/>
      <c r="E192" s="23"/>
      <c r="F192" s="23"/>
    </row>
    <row r="193" spans="1:6" ht="15.75">
      <c r="A193" s="78"/>
      <c r="B193" s="82"/>
      <c r="C193" s="9"/>
      <c r="D193" s="23"/>
      <c r="E193" s="23"/>
      <c r="F193" s="23"/>
    </row>
    <row r="194" spans="1:6" ht="15.75">
      <c r="A194" s="78"/>
      <c r="B194" s="82"/>
      <c r="C194" s="9"/>
      <c r="D194" s="23"/>
      <c r="E194" s="23"/>
      <c r="F194" s="23"/>
    </row>
    <row r="195" spans="1:6" ht="15.75">
      <c r="A195" s="78"/>
      <c r="B195" s="82"/>
      <c r="C195" s="9"/>
      <c r="D195" s="23"/>
      <c r="E195" s="23"/>
      <c r="F195" s="23"/>
    </row>
    <row r="196" spans="1:6" ht="15.75">
      <c r="A196" s="78"/>
      <c r="B196" s="82"/>
      <c r="C196" s="9"/>
      <c r="D196" s="23"/>
      <c r="E196" s="23"/>
      <c r="F196" s="23"/>
    </row>
    <row r="197" spans="1:6" ht="15.75">
      <c r="A197" s="78"/>
      <c r="B197" s="82"/>
      <c r="C197" s="9"/>
      <c r="D197" s="23"/>
      <c r="E197" s="23"/>
      <c r="F197" s="23"/>
    </row>
    <row r="198" spans="1:6" ht="15.75">
      <c r="A198" s="78"/>
      <c r="B198" s="82"/>
      <c r="C198" s="9"/>
      <c r="D198" s="23"/>
      <c r="E198" s="23"/>
      <c r="F198" s="23"/>
    </row>
    <row r="199" spans="1:6" ht="15.75">
      <c r="A199" s="78"/>
      <c r="B199" s="82"/>
      <c r="C199" s="9"/>
      <c r="D199" s="23"/>
      <c r="E199" s="23"/>
      <c r="F199" s="23"/>
    </row>
    <row r="200" spans="1:6" ht="15.75">
      <c r="A200" s="78"/>
      <c r="B200" s="82"/>
      <c r="C200" s="9"/>
      <c r="D200" s="23"/>
      <c r="E200" s="23"/>
      <c r="F200" s="23"/>
    </row>
    <row r="201" spans="1:6" ht="15.75">
      <c r="A201" s="78"/>
      <c r="B201" s="82"/>
      <c r="C201" s="9"/>
      <c r="D201" s="23"/>
      <c r="E201" s="23"/>
      <c r="F201" s="23"/>
    </row>
    <row r="202" spans="1:6" ht="15.75">
      <c r="A202" s="78"/>
      <c r="B202" s="82"/>
      <c r="C202" s="9"/>
      <c r="D202" s="23"/>
      <c r="E202" s="23"/>
      <c r="F202" s="23"/>
    </row>
    <row r="203" spans="1:6" ht="15.75">
      <c r="A203" s="78"/>
      <c r="B203" s="82"/>
      <c r="C203" s="9"/>
      <c r="D203" s="23"/>
      <c r="E203" s="23"/>
      <c r="F203" s="23"/>
    </row>
    <row r="204" spans="1:6" ht="15.75">
      <c r="A204" s="78"/>
      <c r="B204" s="82"/>
      <c r="C204" s="9"/>
      <c r="D204" s="23"/>
      <c r="E204" s="23"/>
      <c r="F204" s="23"/>
    </row>
    <row r="205" spans="1:6" ht="15.75">
      <c r="A205" s="78"/>
      <c r="B205" s="82"/>
      <c r="C205" s="9"/>
      <c r="D205" s="23"/>
      <c r="E205" s="23"/>
      <c r="F205" s="23"/>
    </row>
    <row r="206" spans="1:6" ht="15.75">
      <c r="A206" s="78"/>
      <c r="B206" s="82"/>
      <c r="C206" s="9"/>
      <c r="D206" s="23"/>
      <c r="E206" s="23"/>
      <c r="F206" s="23"/>
    </row>
    <row r="207" spans="1:6" ht="15.75">
      <c r="A207" s="78"/>
      <c r="B207" s="82"/>
      <c r="C207" s="9"/>
      <c r="D207" s="23"/>
      <c r="E207" s="23"/>
      <c r="F207" s="23"/>
    </row>
    <row r="208" spans="1:6" ht="15.75">
      <c r="A208" s="78"/>
      <c r="B208" s="82"/>
      <c r="C208" s="9"/>
      <c r="D208" s="23"/>
      <c r="E208" s="23"/>
      <c r="F208" s="23"/>
    </row>
    <row r="209" spans="1:6" ht="15.75">
      <c r="A209" s="78"/>
      <c r="B209" s="82"/>
      <c r="C209" s="9"/>
      <c r="D209" s="23"/>
      <c r="E209" s="23"/>
      <c r="F209" s="23"/>
    </row>
    <row r="210" spans="1:6" ht="15.75">
      <c r="A210" s="78"/>
      <c r="B210" s="82"/>
      <c r="C210" s="9"/>
      <c r="D210" s="23"/>
      <c r="E210" s="23"/>
      <c r="F210" s="23"/>
    </row>
    <row r="211" spans="1:6" ht="15.75">
      <c r="A211" s="78"/>
      <c r="B211" s="82"/>
      <c r="C211" s="9"/>
      <c r="D211" s="23"/>
      <c r="E211" s="23"/>
      <c r="F211" s="23"/>
    </row>
    <row r="212" spans="1:6" ht="15.75">
      <c r="A212" s="78"/>
      <c r="B212" s="82"/>
      <c r="C212" s="9"/>
      <c r="D212" s="23"/>
      <c r="E212" s="23"/>
      <c r="F212" s="23"/>
    </row>
    <row r="213" spans="1:6" ht="15.75">
      <c r="A213" s="78"/>
      <c r="B213" s="82"/>
      <c r="C213" s="9"/>
      <c r="D213" s="23"/>
      <c r="E213" s="23"/>
      <c r="F213" s="23"/>
    </row>
    <row r="214" spans="1:6" ht="15.75">
      <c r="A214" s="78"/>
      <c r="B214" s="82"/>
      <c r="C214" s="9"/>
      <c r="D214" s="23"/>
      <c r="E214" s="23"/>
      <c r="F214" s="23"/>
    </row>
    <row r="215" spans="1:6" ht="15.75">
      <c r="A215" s="78"/>
      <c r="B215" s="82"/>
      <c r="C215" s="9"/>
      <c r="D215" s="23"/>
      <c r="E215" s="23"/>
      <c r="F215" s="23"/>
    </row>
    <row r="216" spans="1:6" ht="15.75">
      <c r="A216" s="78"/>
      <c r="B216" s="82"/>
      <c r="C216" s="9"/>
      <c r="D216" s="23"/>
      <c r="E216" s="23"/>
      <c r="F216" s="23"/>
    </row>
    <row r="217" spans="1:6" ht="15.75">
      <c r="A217" s="78"/>
      <c r="B217" s="82"/>
      <c r="C217" s="9"/>
      <c r="D217" s="23"/>
      <c r="E217" s="23"/>
      <c r="F217" s="23"/>
    </row>
    <row r="218" spans="1:6" ht="15.75">
      <c r="A218" s="78"/>
      <c r="B218" s="82"/>
      <c r="C218" s="9"/>
      <c r="D218" s="23"/>
      <c r="E218" s="23"/>
      <c r="F218" s="23"/>
    </row>
    <row r="219" spans="1:6" ht="15.75">
      <c r="A219" s="78"/>
      <c r="B219" s="82"/>
      <c r="C219" s="9"/>
      <c r="D219" s="23"/>
      <c r="E219" s="23"/>
      <c r="F219" s="23"/>
    </row>
    <row r="220" spans="1:6" ht="15.75">
      <c r="A220" s="78"/>
      <c r="B220" s="82"/>
      <c r="C220" s="9"/>
      <c r="D220" s="23"/>
      <c r="E220" s="23"/>
      <c r="F220" s="23"/>
    </row>
    <row r="221" spans="1:6" ht="15.75">
      <c r="A221" s="78"/>
      <c r="B221" s="82"/>
      <c r="C221" s="9"/>
      <c r="D221" s="23"/>
      <c r="E221" s="23"/>
      <c r="F221" s="23"/>
    </row>
    <row r="222" spans="1:6" ht="15.75">
      <c r="A222" s="78"/>
      <c r="B222" s="82"/>
      <c r="C222" s="9"/>
      <c r="D222" s="23"/>
      <c r="E222" s="23"/>
      <c r="F222" s="23"/>
    </row>
    <row r="223" spans="1:6" ht="15.75">
      <c r="A223" s="78"/>
      <c r="B223" s="82"/>
      <c r="C223" s="9"/>
      <c r="D223" s="23"/>
      <c r="E223" s="23"/>
      <c r="F223" s="23"/>
    </row>
    <row r="224" spans="1:6" ht="15.75">
      <c r="A224" s="78"/>
      <c r="B224" s="82"/>
      <c r="C224" s="9"/>
      <c r="D224" s="23"/>
      <c r="E224" s="23"/>
      <c r="F224" s="23"/>
    </row>
    <row r="225" spans="1:6" ht="15.75">
      <c r="A225" s="78"/>
      <c r="B225" s="82"/>
      <c r="C225" s="9"/>
      <c r="D225" s="23"/>
      <c r="E225" s="23"/>
      <c r="F225" s="23"/>
    </row>
    <row r="226" spans="1:6" ht="15.75">
      <c r="A226" s="78"/>
      <c r="B226" s="82"/>
      <c r="C226" s="9"/>
      <c r="D226" s="23"/>
      <c r="E226" s="23"/>
      <c r="F226" s="23"/>
    </row>
    <row r="227" spans="1:6" ht="15.75">
      <c r="A227" s="78"/>
      <c r="B227" s="82"/>
      <c r="C227" s="9"/>
      <c r="D227" s="23"/>
      <c r="E227" s="23"/>
      <c r="F227" s="23"/>
    </row>
    <row r="228" spans="1:6" ht="15.75">
      <c r="A228" s="78"/>
      <c r="B228" s="82"/>
      <c r="C228" s="9"/>
      <c r="D228" s="23"/>
      <c r="E228" s="23"/>
      <c r="F228" s="23"/>
    </row>
    <row r="229" spans="1:6" ht="15.75">
      <c r="A229" s="78"/>
      <c r="B229" s="82"/>
      <c r="C229" s="9"/>
      <c r="D229" s="23"/>
      <c r="E229" s="23"/>
      <c r="F229" s="23"/>
    </row>
    <row r="230" spans="1:6" ht="15.75">
      <c r="A230" s="78"/>
      <c r="B230" s="82"/>
      <c r="C230" s="9"/>
      <c r="D230" s="23"/>
      <c r="E230" s="23"/>
      <c r="F230" s="23"/>
    </row>
    <row r="231" spans="1:6" ht="15.75">
      <c r="A231" s="78"/>
      <c r="B231" s="82"/>
      <c r="C231" s="9"/>
      <c r="D231" s="23"/>
      <c r="E231" s="23"/>
      <c r="F231" s="23"/>
    </row>
    <row r="232" spans="1:6" ht="15.75">
      <c r="A232" s="78"/>
      <c r="B232" s="82"/>
      <c r="C232" s="9"/>
      <c r="D232" s="23"/>
      <c r="E232" s="23"/>
      <c r="F232" s="23"/>
    </row>
    <row r="233" spans="1:6" ht="15.75">
      <c r="A233" s="78"/>
      <c r="B233" s="82"/>
      <c r="C233" s="9"/>
      <c r="D233" s="23"/>
      <c r="E233" s="23"/>
      <c r="F233" s="23"/>
    </row>
    <row r="234" spans="1:6" ht="15.75">
      <c r="A234" s="78"/>
      <c r="B234" s="82"/>
      <c r="C234" s="9"/>
      <c r="D234" s="23"/>
      <c r="E234" s="23"/>
      <c r="F234" s="23"/>
    </row>
    <row r="235" spans="1:6" ht="15.75">
      <c r="A235" s="78"/>
      <c r="B235" s="82"/>
      <c r="C235" s="9"/>
      <c r="D235" s="23"/>
      <c r="E235" s="23"/>
      <c r="F235" s="23"/>
    </row>
    <row r="236" spans="1:6" ht="15.75">
      <c r="A236" s="78"/>
      <c r="B236" s="82"/>
      <c r="C236" s="9"/>
      <c r="D236" s="23"/>
      <c r="E236" s="23"/>
      <c r="F236" s="23"/>
    </row>
    <row r="237" spans="1:6" ht="15.75">
      <c r="A237" s="78"/>
      <c r="B237" s="82"/>
      <c r="C237" s="9"/>
      <c r="D237" s="23"/>
      <c r="E237" s="23"/>
      <c r="F237" s="23"/>
    </row>
    <row r="238" spans="1:6" ht="15.75">
      <c r="A238" s="78"/>
      <c r="B238" s="82"/>
      <c r="C238" s="9"/>
      <c r="D238" s="23"/>
      <c r="E238" s="23"/>
      <c r="F238" s="23"/>
    </row>
    <row r="239" spans="1:6" ht="15.75">
      <c r="A239" s="78"/>
      <c r="B239" s="82"/>
      <c r="C239" s="9"/>
      <c r="D239" s="23"/>
      <c r="E239" s="23"/>
      <c r="F239" s="23"/>
    </row>
    <row r="240" spans="1:6" ht="15.75">
      <c r="A240" s="78"/>
      <c r="B240" s="82"/>
      <c r="C240" s="9"/>
      <c r="D240" s="23"/>
      <c r="E240" s="23"/>
      <c r="F240" s="23"/>
    </row>
    <row r="241" spans="1:6" ht="15.75">
      <c r="A241" s="78"/>
      <c r="B241" s="82"/>
      <c r="C241" s="9"/>
      <c r="D241" s="23"/>
      <c r="E241" s="23"/>
      <c r="F241" s="23"/>
    </row>
    <row r="242" spans="1:6" ht="15.75">
      <c r="A242" s="78"/>
      <c r="B242" s="82"/>
      <c r="C242" s="9"/>
      <c r="D242" s="23"/>
      <c r="E242" s="23"/>
      <c r="F242" s="23"/>
    </row>
    <row r="243" spans="1:6" ht="15.75">
      <c r="A243" s="78"/>
      <c r="B243" s="82"/>
      <c r="C243" s="9"/>
      <c r="D243" s="23"/>
      <c r="E243" s="23"/>
      <c r="F243" s="23"/>
    </row>
    <row r="244" spans="1:6" ht="15.75">
      <c r="A244" s="78"/>
      <c r="B244" s="82"/>
      <c r="C244" s="9"/>
      <c r="D244" s="23"/>
      <c r="E244" s="23"/>
      <c r="F244" s="23"/>
    </row>
    <row r="245" spans="1:6" ht="15.75">
      <c r="A245" s="78"/>
      <c r="B245" s="82"/>
      <c r="C245" s="9"/>
      <c r="D245" s="23"/>
      <c r="E245" s="23"/>
      <c r="F245" s="23"/>
    </row>
    <row r="246" spans="1:6" ht="15.75">
      <c r="A246" s="78"/>
      <c r="B246" s="82"/>
      <c r="C246" s="9"/>
      <c r="D246" s="23"/>
      <c r="E246" s="23"/>
      <c r="F246" s="23"/>
    </row>
    <row r="247" spans="1:6" ht="15.75">
      <c r="A247" s="78"/>
      <c r="B247" s="82"/>
      <c r="C247" s="9"/>
      <c r="D247" s="23"/>
      <c r="E247" s="23"/>
      <c r="F247" s="23"/>
    </row>
    <row r="248" spans="1:6" ht="15.75">
      <c r="A248" s="78"/>
      <c r="B248" s="82"/>
      <c r="C248" s="9"/>
      <c r="D248" s="23"/>
      <c r="E248" s="23"/>
      <c r="F248" s="23"/>
    </row>
    <row r="249" spans="1:6" ht="15.75">
      <c r="A249" s="78"/>
      <c r="B249" s="82"/>
      <c r="C249" s="9"/>
      <c r="D249" s="23"/>
      <c r="E249" s="23"/>
      <c r="F249" s="23"/>
    </row>
    <row r="250" spans="1:6" ht="15.75">
      <c r="A250" s="78"/>
      <c r="B250" s="82"/>
      <c r="C250" s="9"/>
      <c r="D250" s="23"/>
      <c r="E250" s="23"/>
      <c r="F250" s="23"/>
    </row>
    <row r="251" spans="1:6" ht="15.75">
      <c r="A251" s="78"/>
      <c r="B251" s="82"/>
      <c r="C251" s="9"/>
      <c r="D251" s="23"/>
      <c r="E251" s="23"/>
      <c r="F251" s="23"/>
    </row>
    <row r="252" spans="1:6" ht="15.75">
      <c r="A252" s="78"/>
      <c r="B252" s="82"/>
      <c r="C252" s="9"/>
      <c r="D252" s="23"/>
      <c r="E252" s="23"/>
      <c r="F252" s="23"/>
    </row>
    <row r="253" spans="1:6" ht="15.75">
      <c r="A253" s="78"/>
      <c r="B253" s="82"/>
      <c r="C253" s="9"/>
      <c r="D253" s="23"/>
      <c r="E253" s="23"/>
      <c r="F253" s="23"/>
    </row>
    <row r="254" spans="1:6" ht="15.75">
      <c r="A254" s="78"/>
      <c r="B254" s="82"/>
      <c r="C254" s="9"/>
      <c r="D254" s="23"/>
      <c r="E254" s="23"/>
      <c r="F254" s="23"/>
    </row>
    <row r="255" spans="1:6" ht="15.75">
      <c r="A255" s="78"/>
      <c r="B255" s="82"/>
      <c r="C255" s="9"/>
      <c r="D255" s="23"/>
      <c r="E255" s="23"/>
      <c r="F255" s="23"/>
    </row>
    <row r="256" spans="1:6" ht="15.75">
      <c r="A256" s="78"/>
      <c r="B256" s="82"/>
      <c r="C256" s="9"/>
      <c r="D256" s="23"/>
      <c r="E256" s="23"/>
      <c r="F256" s="23"/>
    </row>
    <row r="257" spans="1:6" ht="15.75">
      <c r="A257" s="78"/>
      <c r="B257" s="82"/>
      <c r="C257" s="9"/>
      <c r="D257" s="23"/>
      <c r="E257" s="23"/>
      <c r="F257" s="23"/>
    </row>
    <row r="258" spans="1:6" ht="15.75">
      <c r="A258" s="78"/>
      <c r="B258" s="82"/>
      <c r="C258" s="9"/>
      <c r="D258" s="23"/>
      <c r="E258" s="23"/>
      <c r="F258" s="23"/>
    </row>
    <row r="259" spans="1:6" ht="15.75">
      <c r="A259" s="78"/>
      <c r="B259" s="82"/>
      <c r="C259" s="9"/>
      <c r="D259" s="23"/>
      <c r="E259" s="23"/>
      <c r="F259" s="23"/>
    </row>
    <row r="260" spans="1:6" ht="15.75">
      <c r="A260" s="78"/>
      <c r="B260" s="82"/>
      <c r="C260" s="9"/>
      <c r="D260" s="23"/>
      <c r="E260" s="23"/>
      <c r="F260" s="23"/>
    </row>
    <row r="261" spans="1:6" ht="15.75">
      <c r="A261" s="78"/>
      <c r="B261" s="82"/>
      <c r="C261" s="9"/>
      <c r="D261" s="23"/>
      <c r="E261" s="23"/>
      <c r="F261" s="23"/>
    </row>
    <row r="262" spans="1:6" ht="15.75">
      <c r="A262" s="78"/>
      <c r="B262" s="82"/>
      <c r="C262" s="9"/>
      <c r="D262" s="23"/>
      <c r="E262" s="23"/>
      <c r="F262" s="23"/>
    </row>
    <row r="263" spans="1:6" ht="15.75">
      <c r="A263" s="78"/>
      <c r="B263" s="82"/>
      <c r="C263" s="9"/>
      <c r="D263" s="23"/>
      <c r="E263" s="23"/>
      <c r="F263" s="23"/>
    </row>
    <row r="264" spans="1:6" ht="15.75">
      <c r="A264" s="78"/>
      <c r="B264" s="82"/>
      <c r="C264" s="9"/>
      <c r="D264" s="23"/>
      <c r="E264" s="23"/>
      <c r="F264" s="23"/>
    </row>
    <row r="265" spans="1:6" ht="15.75">
      <c r="A265" s="78"/>
      <c r="B265" s="82"/>
      <c r="C265" s="9"/>
      <c r="D265" s="23"/>
      <c r="E265" s="23"/>
      <c r="F265" s="23"/>
    </row>
    <row r="266" spans="1:6" ht="15.75">
      <c r="A266" s="78"/>
      <c r="B266" s="82"/>
      <c r="C266" s="9"/>
      <c r="D266" s="23"/>
      <c r="E266" s="23"/>
      <c r="F266" s="23"/>
    </row>
    <row r="267" spans="1:6" ht="15.75">
      <c r="A267" s="78"/>
      <c r="B267" s="82"/>
      <c r="C267" s="9"/>
      <c r="D267" s="23"/>
      <c r="E267" s="23"/>
      <c r="F267" s="23"/>
    </row>
    <row r="268" spans="1:6" ht="15.75">
      <c r="A268" s="78"/>
      <c r="B268" s="82"/>
      <c r="C268" s="9"/>
      <c r="D268" s="23"/>
      <c r="E268" s="23"/>
      <c r="F268" s="23"/>
    </row>
    <row r="269" spans="1:6" ht="15.75">
      <c r="A269" s="78"/>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6" ht="12.75">
      <c r="B330" s="5"/>
      <c r="C330" s="9"/>
      <c r="D330" s="23"/>
      <c r="E330" s="23"/>
      <c r="F330" s="23"/>
    </row>
    <row r="331" spans="2:6" ht="12.75">
      <c r="B331" s="5"/>
      <c r="C331" s="9"/>
      <c r="D331" s="23"/>
      <c r="E331" s="23"/>
      <c r="F331" s="23"/>
    </row>
    <row r="332" spans="2:6" ht="12.75">
      <c r="B332" s="5"/>
      <c r="C332" s="9"/>
      <c r="D332" s="23"/>
      <c r="E332" s="23"/>
      <c r="F332" s="23"/>
    </row>
    <row r="333" spans="2:6" ht="12.75">
      <c r="B333" s="5"/>
      <c r="C333" s="9"/>
      <c r="D333" s="23"/>
      <c r="E333" s="23"/>
      <c r="F333" s="23"/>
    </row>
    <row r="334" spans="2:6" ht="12.75">
      <c r="B334" s="5"/>
      <c r="C334" s="9"/>
      <c r="D334" s="23"/>
      <c r="E334" s="23"/>
      <c r="F334" s="23"/>
    </row>
    <row r="335" spans="2:6" ht="12.75">
      <c r="B335" s="5"/>
      <c r="C335" s="9"/>
      <c r="D335" s="23"/>
      <c r="E335" s="23"/>
      <c r="F335" s="23"/>
    </row>
    <row r="336" spans="2:6" ht="12.75">
      <c r="B336" s="5"/>
      <c r="C336" s="9"/>
      <c r="D336" s="23"/>
      <c r="E336" s="23"/>
      <c r="F336" s="23"/>
    </row>
    <row r="337" spans="2:6" ht="12.75">
      <c r="B337" s="5"/>
      <c r="C337" s="9"/>
      <c r="D337" s="23"/>
      <c r="E337" s="23"/>
      <c r="F337" s="23"/>
    </row>
    <row r="338" spans="2:6" ht="12.75">
      <c r="B338" s="5"/>
      <c r="C338" s="9"/>
      <c r="D338" s="23"/>
      <c r="E338" s="23"/>
      <c r="F338" s="23"/>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spans="2:3" ht="12.75">
      <c r="B438" s="5"/>
      <c r="C438" s="9"/>
    </row>
    <row r="439" spans="2:3" ht="12.75">
      <c r="B439" s="5"/>
      <c r="C439" s="9"/>
    </row>
    <row r="440" spans="2:3" ht="12.75">
      <c r="B440" s="5"/>
      <c r="C440" s="9"/>
    </row>
    <row r="441" spans="2:3" ht="12.75">
      <c r="B441" s="5"/>
      <c r="C441" s="9"/>
    </row>
    <row r="442" spans="2:3" ht="12.75">
      <c r="B442" s="5"/>
      <c r="C442" s="9"/>
    </row>
    <row r="443" spans="2:3" ht="12.75">
      <c r="B443" s="5"/>
      <c r="C443" s="9"/>
    </row>
    <row r="444" spans="2:3" ht="12.75">
      <c r="B444" s="5"/>
      <c r="C444" s="9"/>
    </row>
    <row r="445" spans="2:3" ht="12.75">
      <c r="B445" s="5"/>
      <c r="C445" s="9"/>
    </row>
    <row r="446" spans="2:3" ht="12.75">
      <c r="B446" s="5"/>
      <c r="C446" s="9"/>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row r="965" ht="12.75">
      <c r="B965" s="5"/>
    </row>
    <row r="966" ht="12.75">
      <c r="B966" s="5"/>
    </row>
    <row r="967" ht="12.75">
      <c r="B967" s="5"/>
    </row>
    <row r="968" ht="12.75">
      <c r="B968" s="5"/>
    </row>
    <row r="969" ht="12.75">
      <c r="B969" s="5"/>
    </row>
  </sheetData>
  <sheetProtection/>
  <mergeCells count="21">
    <mergeCell ref="B6:N6"/>
    <mergeCell ref="G10:G12"/>
    <mergeCell ref="H10:H12"/>
    <mergeCell ref="I10:J10"/>
    <mergeCell ref="K10:K12"/>
    <mergeCell ref="I11:I12"/>
    <mergeCell ref="F11:F12"/>
    <mergeCell ref="N9:N12"/>
    <mergeCell ref="L11:L12"/>
    <mergeCell ref="A9:A12"/>
    <mergeCell ref="B9:B12"/>
    <mergeCell ref="L10:M10"/>
    <mergeCell ref="E11:E12"/>
    <mergeCell ref="H165:K165"/>
    <mergeCell ref="D9:F9"/>
    <mergeCell ref="C165:D165"/>
    <mergeCell ref="D10:D12"/>
    <mergeCell ref="G9:M9"/>
    <mergeCell ref="J11:J12"/>
    <mergeCell ref="E10:F10"/>
    <mergeCell ref="C10:C12"/>
  </mergeCells>
  <printOptions horizontalCentered="1"/>
  <pageMargins left="0.1968503937007874" right="0.1968503937007874" top="0.67" bottom="0.4" header="0.3" footer="0.19"/>
  <pageSetup fitToHeight="0" fitToWidth="1" horizontalDpi="600" verticalDpi="600" orientation="landscape" paperSize="9" scale="62"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2013-11-20T15:24:25Z</cp:lastPrinted>
  <dcterms:created xsi:type="dcterms:W3CDTF">2002-12-20T15:22:07Z</dcterms:created>
  <dcterms:modified xsi:type="dcterms:W3CDTF">2013-11-20T15:24:46Z</dcterms:modified>
  <cp:category/>
  <cp:version/>
  <cp:contentType/>
  <cp:contentStatus/>
</cp:coreProperties>
</file>