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<sst xmlns="http://schemas.openxmlformats.org/spreadsheetml/2006/main" count="212" uniqueCount="195">
  <si>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</si>
  <si>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</si>
  <si>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</si>
  <si>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</si>
  <si>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</si>
  <si>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</si>
  <si>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</si>
  <si>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</si>
  <si>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</si>
  <si>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</si>
  <si>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</si>
  <si>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</si>
  <si>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</si>
  <si>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</si>
  <si>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</si>
  <si>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</si>
  <si>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</si>
  <si>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</si>
  <si>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</si>
  <si>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</si>
  <si>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</si>
  <si>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</si>
  <si>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</si>
  <si>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</si>
  <si>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</si>
  <si>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</si>
  <si>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</si>
  <si>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</si>
  <si>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</si>
  <si>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</si>
  <si>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</si>
  <si>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</si>
  <si>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</si>
  <si>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</si>
  <si>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</si>
  <si>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</si>
  <si>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</si>
  <si>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</si>
  <si>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</si>
  <si>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</si>
  <si>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</si>
  <si>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</si>
  <si>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</si>
  <si>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</si>
  <si>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</si>
  <si>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</si>
  <si>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</si>
  <si>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</si>
  <si>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</si>
  <si>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</si>
  <si>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</si>
  <si>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</si>
  <si>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</si>
  <si>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</si>
  <si>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</si>
  <si>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</si>
  <si>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</si>
  <si>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</si>
  <si>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</si>
  <si>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</si>
  <si>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</si>
  <si>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</si>
  <si>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</si>
  <si>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</si>
  <si>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</si>
  <si>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</si>
  <si>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</si>
  <si>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</si>
  <si>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</si>
  <si>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</si>
  <si>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</si>
  <si>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</si>
  <si>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</si>
  <si>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</si>
  <si>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</si>
  <si>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</si>
  <si>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</si>
  <si>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</si>
  <si>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</si>
  <si>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</si>
  <si>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</si>
  <si>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</si>
  <si>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</si>
  <si>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</si>
  <si>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</si>
  <si>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</si>
  <si>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</si>
  <si>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</si>
  <si>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</si>
  <si>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</si>
  <si>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</si>
  <si>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</si>
  <si>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</si>
  <si>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</si>
  <si>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</si>
  <si>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</si>
  <si>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</si>
  <si>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</si>
  <si>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</si>
  <si>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</si>
  <si>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</si>
  <si>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</si>
  <si>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</si>
  <si>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</si>
  <si>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</si>
  <si>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</si>
  <si>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</si>
  <si>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</si>
  <si>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</si>
  <si>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</si>
  <si>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</si>
  <si>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</si>
  <si>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</si>
  <si>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</si>
  <si>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</si>
  <si>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</si>
  <si>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</si>
  <si>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</si>
  <si>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</si>
  <si>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</si>
  <si>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</si>
  <si>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</si>
  <si>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</si>
  <si>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</si>
  <si>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</si>
  <si>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</si>
  <si>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</si>
  <si>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</si>
  <si>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</si>
  <si>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</si>
  <si>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</si>
  <si>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</si>
  <si>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</si>
  <si>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</si>
  <si>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</si>
  <si>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</si>
  <si>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</si>
  <si>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</si>
  <si>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</si>
  <si>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</si>
  <si>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</si>
  <si>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</si>
  <si>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</si>
  <si>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</si>
  <si>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</si>
  <si>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</si>
  <si>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</si>
  <si>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</si>
  <si>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</si>
  <si>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</si>
  <si>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</si>
  <si>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</si>
  <si>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</si>
  <si>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</si>
  <si>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</si>
  <si>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</si>
  <si>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</si>
  <si>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</si>
  <si>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</si>
  <si>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</si>
  <si>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</si>
  <si>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</si>
  <si>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</si>
  <si>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</si>
  <si>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</si>
  <si>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</si>
  <si>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</si>
  <si>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</si>
  <si>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</si>
  <si>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</si>
  <si>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</si>
  <si>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</si>
  <si>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</si>
  <si>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</si>
  <si>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</si>
  <si>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</si>
  <si>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</si>
  <si>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</si>
  <si>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</si>
  <si>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</si>
  <si>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</si>
  <si>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</si>
  <si>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</si>
  <si>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</si>
  <si>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</si>
  <si>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</si>
  <si>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</si>
  <si>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</si>
  <si>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</si>
  <si>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091103</t>
  </si>
  <si>
    <t>Соціальні програми і заходи державних органів у справах молоді</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</si>
  <si>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</si>
  <si>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</si>
  <si>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250388</t>
  </si>
  <si>
    <t>Субвенція з державного бюджету на проведення виборів депутатів місцевих рад та сільських, селищних, міських голів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</si>
</sst>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7" fillId="3" borderId="1" applyNumberFormat="0" applyAlignment="0" applyProtection="0"/>
    <xf numFmtId="0" fontId="28" fillId="2" borderId="2" applyNumberFormat="0" applyAlignment="0" applyProtection="0"/>
    <xf numFmtId="0" fontId="29"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5" borderId="7" applyNumberFormat="0" applyAlignment="0" applyProtection="0"/>
    <xf numFmtId="0" fontId="35" fillId="0" borderId="0" applyNumberFormat="0" applyFill="0" applyBorder="0" applyAlignment="0" applyProtection="0"/>
    <xf numFmtId="0" fontId="36" fillId="8" borderId="0" applyNumberFormat="0" applyBorder="0" applyAlignment="0" applyProtection="0"/>
    <xf numFmtId="0" fontId="6"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17"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view="pageBreakPreview" zoomScale="75" zoomScaleNormal="70" zoomScaleSheetLayoutView="75" zoomScalePageLayoutView="50" workbookViewId="0" topLeftCell="A7">
      <pane xSplit="2" ySplit="7" topLeftCell="F72" activePane="bottomRight" state="frozen"/>
      <selection pane="topLeft" activeCell="A7" sqref="A7"/>
      <selection pane="topRight" activeCell="C7" sqref="C7"/>
      <selection pane="bottomLeft" activeCell="A14" sqref="A14"/>
      <selection pane="bottomRight" activeCell="M121" sqref="M121"/>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181</v>
      </c>
      <c r="M3" s="8"/>
    </row>
    <row r="4" spans="9:13" ht="15.75">
      <c r="I4" s="8"/>
      <c r="J4" s="8"/>
      <c r="L4" s="8" t="s">
        <v>77</v>
      </c>
      <c r="M4" s="8"/>
    </row>
    <row r="5" spans="9:13" ht="15.75">
      <c r="I5" s="8"/>
      <c r="J5" s="8"/>
      <c r="L5" s="8" t="s">
        <v>166</v>
      </c>
      <c r="M5" s="8"/>
    </row>
    <row r="6" spans="9:13" ht="15.75">
      <c r="I6" s="8"/>
      <c r="J6" s="8"/>
      <c r="L6" s="8"/>
      <c r="M6" s="8"/>
    </row>
    <row r="7" spans="1:13" ht="20.25">
      <c r="A7" s="105" t="s">
        <v>173</v>
      </c>
      <c r="B7" s="105"/>
      <c r="C7" s="105"/>
      <c r="D7" s="105"/>
      <c r="E7" s="105"/>
      <c r="F7" s="105"/>
      <c r="G7" s="105"/>
      <c r="H7" s="105"/>
      <c r="I7" s="105"/>
      <c r="J7" s="105"/>
      <c r="K7" s="105"/>
      <c r="L7" s="105"/>
      <c r="M7" s="105"/>
    </row>
    <row r="8" ht="13.5" thickBot="1">
      <c r="M8" s="1" t="s">
        <v>6</v>
      </c>
    </row>
    <row r="9" spans="1:13" ht="47.25" customHeight="1">
      <c r="A9" s="111" t="s">
        <v>115</v>
      </c>
      <c r="B9" s="114" t="s">
        <v>117</v>
      </c>
      <c r="C9" s="96" t="s">
        <v>27</v>
      </c>
      <c r="D9" s="110"/>
      <c r="E9" s="110"/>
      <c r="F9" s="96" t="s">
        <v>28</v>
      </c>
      <c r="G9" s="97"/>
      <c r="H9" s="97"/>
      <c r="I9" s="97"/>
      <c r="J9" s="97"/>
      <c r="K9" s="97"/>
      <c r="L9" s="98"/>
      <c r="M9" s="108" t="s">
        <v>133</v>
      </c>
    </row>
    <row r="10" spans="1:13" ht="12.75" customHeight="1">
      <c r="A10" s="112"/>
      <c r="B10" s="115"/>
      <c r="C10" s="93" t="s">
        <v>2</v>
      </c>
      <c r="D10" s="107" t="s">
        <v>3</v>
      </c>
      <c r="E10" s="107"/>
      <c r="F10" s="106" t="s">
        <v>2</v>
      </c>
      <c r="G10" s="107" t="s">
        <v>29</v>
      </c>
      <c r="H10" s="107" t="s">
        <v>3</v>
      </c>
      <c r="I10" s="107"/>
      <c r="J10" s="107" t="s">
        <v>30</v>
      </c>
      <c r="K10" s="99" t="s">
        <v>119</v>
      </c>
      <c r="L10" s="100"/>
      <c r="M10" s="109"/>
    </row>
    <row r="11" spans="1:13" ht="12.75" customHeight="1">
      <c r="A11" s="112"/>
      <c r="B11" s="115"/>
      <c r="C11" s="94"/>
      <c r="D11" s="103" t="s">
        <v>4</v>
      </c>
      <c r="E11" s="103" t="s">
        <v>5</v>
      </c>
      <c r="F11" s="106"/>
      <c r="G11" s="107"/>
      <c r="H11" s="103" t="s">
        <v>4</v>
      </c>
      <c r="I11" s="103" t="s">
        <v>5</v>
      </c>
      <c r="J11" s="107"/>
      <c r="K11" s="101" t="s">
        <v>120</v>
      </c>
      <c r="L11" s="25" t="s">
        <v>119</v>
      </c>
      <c r="M11" s="109"/>
    </row>
    <row r="12" spans="1:13" ht="121.5" customHeight="1">
      <c r="A12" s="113"/>
      <c r="B12" s="116"/>
      <c r="C12" s="95"/>
      <c r="D12" s="104"/>
      <c r="E12" s="104"/>
      <c r="F12" s="106"/>
      <c r="G12" s="107"/>
      <c r="H12" s="104"/>
      <c r="I12" s="104"/>
      <c r="J12" s="107"/>
      <c r="K12" s="102"/>
      <c r="L12" s="25" t="s">
        <v>121</v>
      </c>
      <c r="M12" s="109"/>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75">
      <c r="A15" s="22" t="s">
        <v>116</v>
      </c>
      <c r="B15" s="10" t="s">
        <v>24</v>
      </c>
      <c r="C15" s="21">
        <f>1030.155+6+18.658-10.068+3.69+12-4.549</f>
        <v>1055.886</v>
      </c>
      <c r="D15" s="21">
        <f>627.6-7.389</f>
        <v>620.211</v>
      </c>
      <c r="E15" s="21">
        <f>82.255+3.69+1.5</f>
        <v>87.445</v>
      </c>
      <c r="F15" s="21">
        <f>G15+J15</f>
        <v>2</v>
      </c>
      <c r="G15" s="21">
        <v>2</v>
      </c>
      <c r="H15" s="21"/>
      <c r="I15" s="21"/>
      <c r="J15" s="17"/>
      <c r="K15" s="17"/>
      <c r="L15" s="21"/>
      <c r="M15" s="21">
        <f>C15+F15</f>
        <v>1057.886</v>
      </c>
    </row>
    <row r="16" spans="1:13" ht="18.75">
      <c r="A16" s="22"/>
      <c r="B16" s="37" t="s">
        <v>8</v>
      </c>
      <c r="C16" s="38">
        <f>C15</f>
        <v>1055.886</v>
      </c>
      <c r="D16" s="38">
        <f>D15</f>
        <v>620.211</v>
      </c>
      <c r="E16" s="38">
        <f>E15</f>
        <v>87.445</v>
      </c>
      <c r="F16" s="38">
        <f>G16+J16</f>
        <v>2</v>
      </c>
      <c r="G16" s="38">
        <f aca="true" t="shared" si="0" ref="G16:L16">G15</f>
        <v>2</v>
      </c>
      <c r="H16" s="38">
        <f t="shared" si="0"/>
        <v>0</v>
      </c>
      <c r="I16" s="38">
        <f t="shared" si="0"/>
        <v>0</v>
      </c>
      <c r="J16" s="38">
        <f>J15</f>
        <v>0</v>
      </c>
      <c r="K16" s="38">
        <f t="shared" si="0"/>
        <v>0</v>
      </c>
      <c r="L16" s="38">
        <f t="shared" si="0"/>
        <v>0</v>
      </c>
      <c r="M16" s="38">
        <f>F16+C16</f>
        <v>1057.886</v>
      </c>
    </row>
    <row r="17" spans="1:13" ht="18.7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44743.114+194.117+5+18-0.04-2570.193+566.82+10+9+8-107.9-102.235</f>
        <v>42773.683</v>
      </c>
      <c r="D18" s="21">
        <f>28210.317-1337.965-53</f>
        <v>26819.352</v>
      </c>
      <c r="E18" s="21">
        <f>3693.899+566.82-17</f>
        <v>4243.719</v>
      </c>
      <c r="F18" s="21">
        <f>G18+J18</f>
        <v>132.13400000000001</v>
      </c>
      <c r="G18" s="21">
        <v>10.7</v>
      </c>
      <c r="H18" s="21"/>
      <c r="I18" s="21"/>
      <c r="J18" s="21">
        <f>170.1+73.285+3.866-170.1+40+4.283</f>
        <v>121.43400000000001</v>
      </c>
      <c r="K18" s="21">
        <f>170.1+73.285+3.866-170.1+40+4.283</f>
        <v>121.43400000000001</v>
      </c>
      <c r="L18" s="21">
        <f>170.1+73.285-170.1+40+4.283</f>
        <v>117.568</v>
      </c>
      <c r="M18" s="21">
        <f aca="true" t="shared" si="1" ref="M18:M78">F18+C18</f>
        <v>42905.816999999995</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141</v>
      </c>
      <c r="C20" s="21">
        <f>1736.446+12.815-3.311-10+16.34-4+1+22</f>
        <v>1771.29</v>
      </c>
      <c r="D20" s="21">
        <f>1087.282-17.929-7.342</f>
        <v>1062.0109999999997</v>
      </c>
      <c r="E20" s="21">
        <f>100.453+16.34-9</f>
        <v>107.793</v>
      </c>
      <c r="F20" s="21">
        <f>G20+J20</f>
        <v>15</v>
      </c>
      <c r="G20" s="21">
        <v>15</v>
      </c>
      <c r="H20" s="21"/>
      <c r="I20" s="21"/>
      <c r="J20" s="26"/>
      <c r="K20" s="26"/>
      <c r="L20" s="26"/>
      <c r="M20" s="21">
        <f t="shared" si="1"/>
        <v>1786.29</v>
      </c>
    </row>
    <row r="21" spans="1:13" ht="15.75">
      <c r="A21" s="41" t="s">
        <v>45</v>
      </c>
      <c r="B21" s="46" t="s">
        <v>140</v>
      </c>
      <c r="C21" s="21">
        <f>597.499+8.851-13.852+4.51-2</f>
        <v>595.008</v>
      </c>
      <c r="D21" s="21">
        <f>415.61-10.573</f>
        <v>405.03700000000003</v>
      </c>
      <c r="E21" s="21">
        <f>29.773+4.51</f>
        <v>34.283</v>
      </c>
      <c r="F21" s="21"/>
      <c r="G21" s="21"/>
      <c r="H21" s="21"/>
      <c r="I21" s="21"/>
      <c r="J21" s="21"/>
      <c r="K21" s="21"/>
      <c r="L21" s="21"/>
      <c r="M21" s="21">
        <f t="shared" si="1"/>
        <v>595.008</v>
      </c>
    </row>
    <row r="22" spans="1:13" ht="15.75">
      <c r="A22" s="41" t="s">
        <v>167</v>
      </c>
      <c r="B22" s="85" t="s">
        <v>169</v>
      </c>
      <c r="C22" s="21">
        <f>18.804+5.486</f>
        <v>24.29</v>
      </c>
      <c r="D22" s="21">
        <v>13.939</v>
      </c>
      <c r="E22" s="21"/>
      <c r="F22" s="21"/>
      <c r="G22" s="21"/>
      <c r="H22" s="21"/>
      <c r="I22" s="21"/>
      <c r="J22" s="21"/>
      <c r="K22" s="21"/>
      <c r="L22" s="21"/>
      <c r="M22" s="21">
        <f t="shared" si="1"/>
        <v>24.29</v>
      </c>
    </row>
    <row r="23" spans="1:13" ht="31.5">
      <c r="A23" s="41" t="s">
        <v>168</v>
      </c>
      <c r="B23" s="86" t="s">
        <v>170</v>
      </c>
      <c r="C23" s="21">
        <f>14.374+17.983</f>
        <v>32.357</v>
      </c>
      <c r="D23" s="21">
        <v>10.832</v>
      </c>
      <c r="E23" s="21"/>
      <c r="F23" s="21"/>
      <c r="G23" s="21"/>
      <c r="H23" s="21"/>
      <c r="I23" s="21"/>
      <c r="J23" s="21"/>
      <c r="K23" s="21"/>
      <c r="L23" s="21"/>
      <c r="M23" s="21">
        <f t="shared" si="1"/>
        <v>32.357</v>
      </c>
    </row>
    <row r="24" spans="1:13" ht="15.75">
      <c r="A24" s="41" t="s">
        <v>155</v>
      </c>
      <c r="B24" s="46" t="s">
        <v>156</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818.24+30.82+5+31+16.1+26+5+34.9+124.117</f>
        <v>1091.1770000000001</v>
      </c>
      <c r="D25" s="21"/>
      <c r="E25" s="21"/>
      <c r="F25" s="21"/>
      <c r="G25" s="21"/>
      <c r="H25" s="21"/>
      <c r="I25" s="21"/>
      <c r="J25" s="17"/>
      <c r="K25" s="17"/>
      <c r="L25" s="17"/>
      <c r="M25" s="21">
        <f>F25+C25</f>
        <v>1091.1770000000001</v>
      </c>
    </row>
    <row r="26" spans="1:13" ht="31.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188</v>
      </c>
      <c r="C27" s="21">
        <f>491.5-23.7+14+0.9</f>
        <v>482.7</v>
      </c>
      <c r="D27" s="21"/>
      <c r="E27" s="21"/>
      <c r="F27" s="26"/>
      <c r="G27" s="21"/>
      <c r="H27" s="21"/>
      <c r="I27" s="21"/>
      <c r="J27" s="21"/>
      <c r="K27" s="21"/>
      <c r="L27" s="21"/>
      <c r="M27" s="21">
        <f t="shared" si="1"/>
        <v>482.7</v>
      </c>
    </row>
    <row r="28" spans="1:13" ht="23.25" customHeight="1">
      <c r="A28" s="48"/>
      <c r="B28" s="49" t="s">
        <v>171</v>
      </c>
      <c r="C28" s="21">
        <v>467.8</v>
      </c>
      <c r="D28" s="21"/>
      <c r="E28" s="21"/>
      <c r="F28" s="26"/>
      <c r="G28" s="21"/>
      <c r="H28" s="21"/>
      <c r="I28" s="21"/>
      <c r="J28" s="21"/>
      <c r="K28" s="21"/>
      <c r="L28" s="21"/>
      <c r="M28" s="21">
        <f t="shared" si="1"/>
        <v>467.8</v>
      </c>
    </row>
    <row r="29" spans="1:13" ht="15.75">
      <c r="A29" s="50"/>
      <c r="B29" s="9" t="s">
        <v>2</v>
      </c>
      <c r="C29" s="83">
        <f>C18+C20+C21+C24+C25+C26+C27+C22+C23</f>
        <v>48907.974</v>
      </c>
      <c r="D29" s="83">
        <f>D18+D20+D21+D24+D25+D26+D27+D22+D23</f>
        <v>29665.697999999993</v>
      </c>
      <c r="E29" s="38">
        <f aca="true" t="shared" si="2" ref="E29:L29">E18+E20+E21+E24+E25+E26+E27</f>
        <v>4554.983</v>
      </c>
      <c r="F29" s="38">
        <f t="shared" si="2"/>
        <v>147.13400000000001</v>
      </c>
      <c r="G29" s="38">
        <f t="shared" si="2"/>
        <v>25.7</v>
      </c>
      <c r="H29" s="38">
        <f t="shared" si="2"/>
        <v>0</v>
      </c>
      <c r="I29" s="38">
        <f t="shared" si="2"/>
        <v>0</v>
      </c>
      <c r="J29" s="38">
        <f t="shared" si="2"/>
        <v>121.43400000000001</v>
      </c>
      <c r="K29" s="38">
        <f t="shared" si="2"/>
        <v>121.43400000000001</v>
      </c>
      <c r="L29" s="38">
        <f t="shared" si="2"/>
        <v>117.568</v>
      </c>
      <c r="M29" s="38">
        <f t="shared" si="1"/>
        <v>49055.108</v>
      </c>
    </row>
    <row r="30" spans="1:13" ht="18.75">
      <c r="A30" s="56" t="s">
        <v>34</v>
      </c>
      <c r="B30" s="57" t="s">
        <v>35</v>
      </c>
      <c r="C30" s="84"/>
      <c r="D30" s="84"/>
      <c r="E30" s="21"/>
      <c r="F30" s="26"/>
      <c r="G30" s="21"/>
      <c r="H30" s="21"/>
      <c r="I30" s="21"/>
      <c r="J30" s="21"/>
      <c r="K30" s="21"/>
      <c r="L30" s="21"/>
      <c r="M30" s="21">
        <f t="shared" si="1"/>
        <v>0</v>
      </c>
    </row>
    <row r="31" spans="1:13" ht="15.75">
      <c r="A31" s="45" t="s">
        <v>36</v>
      </c>
      <c r="B31" s="47" t="s">
        <v>127</v>
      </c>
      <c r="C31" s="84">
        <f>12962.69+105.883+153+1.9-441.7+141.69+210</f>
        <v>13133.463</v>
      </c>
      <c r="D31" s="84">
        <f>7238.4-322.812+221</f>
        <v>7136.588</v>
      </c>
      <c r="E31" s="21">
        <f>1266.4+141.69+93</f>
        <v>1501.0900000000001</v>
      </c>
      <c r="F31" s="21">
        <f>G31+J31</f>
        <v>528.855</v>
      </c>
      <c r="G31" s="21">
        <v>350</v>
      </c>
      <c r="H31" s="21">
        <v>130</v>
      </c>
      <c r="I31" s="26"/>
      <c r="J31" s="17">
        <f>298.3+30+102.1+248.855-300.4-200</f>
        <v>178.85500000000002</v>
      </c>
      <c r="K31" s="17">
        <f>298.3+30+102.1+248.855-300.4-200</f>
        <v>178.85500000000002</v>
      </c>
      <c r="L31" s="17">
        <f>298.3+30+102.1-300.4</f>
        <v>130</v>
      </c>
      <c r="M31" s="21">
        <f t="shared" si="1"/>
        <v>13662.318</v>
      </c>
    </row>
    <row r="32" spans="1:13" ht="18.75" customHeight="1">
      <c r="A32" s="45" t="s">
        <v>161</v>
      </c>
      <c r="B32" s="47" t="s">
        <v>162</v>
      </c>
      <c r="C32" s="21">
        <f>6237.867+1.716+18-384+33.34+30</f>
        <v>5936.923000000001</v>
      </c>
      <c r="D32" s="21"/>
      <c r="E32" s="21"/>
      <c r="F32" s="21">
        <f>G32+J32</f>
        <v>16.9</v>
      </c>
      <c r="G32" s="21">
        <v>8.4</v>
      </c>
      <c r="H32" s="21"/>
      <c r="I32" s="21"/>
      <c r="J32" s="21">
        <f>2.5+6</f>
        <v>8.5</v>
      </c>
      <c r="K32" s="21">
        <f>2.5+6</f>
        <v>8.5</v>
      </c>
      <c r="L32" s="21">
        <f>2.5+6</f>
        <v>8.5</v>
      </c>
      <c r="M32" s="21">
        <f t="shared" si="1"/>
        <v>5953.823</v>
      </c>
    </row>
    <row r="33" spans="1:13" ht="15.75">
      <c r="A33" s="58"/>
      <c r="B33" s="9" t="s">
        <v>2</v>
      </c>
      <c r="C33" s="38">
        <f aca="true" t="shared" si="3" ref="C33:L33">C31+C32</f>
        <v>19070.386</v>
      </c>
      <c r="D33" s="38">
        <f t="shared" si="3"/>
        <v>7136.588</v>
      </c>
      <c r="E33" s="38">
        <f t="shared" si="3"/>
        <v>1501.0900000000001</v>
      </c>
      <c r="F33" s="38">
        <f t="shared" si="3"/>
        <v>545.755</v>
      </c>
      <c r="G33" s="38">
        <f t="shared" si="3"/>
        <v>358.4</v>
      </c>
      <c r="H33" s="38">
        <f t="shared" si="3"/>
        <v>130</v>
      </c>
      <c r="I33" s="38">
        <f t="shared" si="3"/>
        <v>0</v>
      </c>
      <c r="J33" s="38">
        <f t="shared" si="3"/>
        <v>187.35500000000002</v>
      </c>
      <c r="K33" s="38">
        <f t="shared" si="3"/>
        <v>187.35500000000002</v>
      </c>
      <c r="L33" s="38">
        <f t="shared" si="3"/>
        <v>138.5</v>
      </c>
      <c r="M33" s="38">
        <f t="shared" si="1"/>
        <v>19616.141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2319.324+539.475-200</f>
        <v>2658.799</v>
      </c>
      <c r="D35" s="38"/>
      <c r="E35" s="38"/>
      <c r="F35" s="26"/>
      <c r="G35" s="38"/>
      <c r="H35" s="38"/>
      <c r="I35" s="38"/>
      <c r="J35" s="38"/>
      <c r="K35" s="38"/>
      <c r="L35" s="38"/>
      <c r="M35" s="24">
        <f t="shared" si="1"/>
        <v>2658.799</v>
      </c>
    </row>
    <row r="36" spans="1:13" s="16" customFormat="1" ht="189">
      <c r="A36" s="48" t="s">
        <v>50</v>
      </c>
      <c r="B36" s="49" t="s">
        <v>79</v>
      </c>
      <c r="C36" s="21">
        <f>152.419-3.595-15.85098</f>
        <v>132.97302000000002</v>
      </c>
      <c r="D36" s="38"/>
      <c r="E36" s="38"/>
      <c r="F36" s="26"/>
      <c r="G36" s="38"/>
      <c r="H36" s="38"/>
      <c r="I36" s="38"/>
      <c r="J36" s="38"/>
      <c r="K36" s="38"/>
      <c r="L36" s="38"/>
      <c r="M36" s="24">
        <f t="shared" si="1"/>
        <v>132.97302000000002</v>
      </c>
    </row>
    <row r="37" spans="1:13" s="16" customFormat="1" ht="219" customHeight="1">
      <c r="A37" s="48" t="s">
        <v>51</v>
      </c>
      <c r="B37" s="49" t="s">
        <v>80</v>
      </c>
      <c r="C37" s="21">
        <f>24.1-2.525</f>
        <v>21.575000000000003</v>
      </c>
      <c r="D37" s="38"/>
      <c r="E37" s="38"/>
      <c r="F37" s="21">
        <f>G37+J37</f>
        <v>0</v>
      </c>
      <c r="G37" s="38"/>
      <c r="H37" s="38"/>
      <c r="I37" s="38"/>
      <c r="J37" s="21"/>
      <c r="K37" s="21"/>
      <c r="L37" s="21"/>
      <c r="M37" s="24">
        <f t="shared" si="1"/>
        <v>21.575000000000003</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52">
      <c r="A39" s="48"/>
      <c r="B39" s="68" t="s">
        <v>185</v>
      </c>
      <c r="C39" s="21"/>
      <c r="D39" s="38"/>
      <c r="E39" s="38"/>
      <c r="F39" s="26"/>
      <c r="G39" s="38"/>
      <c r="H39" s="38"/>
      <c r="I39" s="38"/>
      <c r="J39" s="38"/>
      <c r="K39" s="38"/>
      <c r="L39" s="38"/>
      <c r="M39" s="21"/>
    </row>
    <row r="40" spans="1:13" s="16" customFormat="1" ht="370.5" customHeight="1">
      <c r="A40" s="48" t="s">
        <v>53</v>
      </c>
      <c r="B40" s="87" t="s">
        <v>111</v>
      </c>
      <c r="C40" s="24">
        <f>2.143+0.01348</f>
        <v>2.1564799999999997</v>
      </c>
      <c r="D40" s="38"/>
      <c r="E40" s="38"/>
      <c r="F40" s="26"/>
      <c r="G40" s="38"/>
      <c r="H40" s="38"/>
      <c r="I40" s="38"/>
      <c r="J40" s="38"/>
      <c r="K40" s="38"/>
      <c r="L40" s="38"/>
      <c r="M40" s="24">
        <f t="shared" si="1"/>
        <v>2.1564799999999997</v>
      </c>
    </row>
    <row r="41" spans="1:13" s="16" customFormat="1" ht="66" customHeight="1">
      <c r="A41" s="48"/>
      <c r="B41" s="60" t="s">
        <v>110</v>
      </c>
      <c r="C41" s="21"/>
      <c r="D41" s="38"/>
      <c r="E41" s="38"/>
      <c r="F41" s="26"/>
      <c r="G41" s="38"/>
      <c r="H41" s="38"/>
      <c r="I41" s="38"/>
      <c r="J41" s="38"/>
      <c r="K41" s="38"/>
      <c r="L41" s="38"/>
      <c r="M41" s="21"/>
    </row>
    <row r="42" spans="1:13" s="16" customFormat="1" ht="94.5">
      <c r="A42" s="48" t="s">
        <v>54</v>
      </c>
      <c r="B42" s="49" t="s">
        <v>92</v>
      </c>
      <c r="C42" s="24">
        <f>55.722+12.961</f>
        <v>68.683</v>
      </c>
      <c r="D42" s="38"/>
      <c r="E42" s="38"/>
      <c r="F42" s="26"/>
      <c r="G42" s="38"/>
      <c r="H42" s="38"/>
      <c r="I42" s="38"/>
      <c r="J42" s="38"/>
      <c r="K42" s="38"/>
      <c r="L42" s="38"/>
      <c r="M42" s="24">
        <f t="shared" si="1"/>
        <v>68.683</v>
      </c>
    </row>
    <row r="43" spans="1:13" s="16" customFormat="1" ht="94.5">
      <c r="A43" s="48" t="s">
        <v>55</v>
      </c>
      <c r="B43" s="49" t="s">
        <v>93</v>
      </c>
      <c r="C43" s="24">
        <f>2.143-0.52564</f>
        <v>1.6173599999999997</v>
      </c>
      <c r="D43" s="38"/>
      <c r="E43" s="38"/>
      <c r="F43" s="26"/>
      <c r="G43" s="38"/>
      <c r="H43" s="38"/>
      <c r="I43" s="38"/>
      <c r="J43" s="38"/>
      <c r="K43" s="38"/>
      <c r="L43" s="38"/>
      <c r="M43" s="24">
        <f t="shared" si="1"/>
        <v>1.6173599999999997</v>
      </c>
    </row>
    <row r="44" spans="1:13" s="16" customFormat="1" ht="78.75">
      <c r="A44" s="48" t="s">
        <v>56</v>
      </c>
      <c r="B44" s="49" t="s">
        <v>94</v>
      </c>
      <c r="C44" s="21">
        <v>1.4</v>
      </c>
      <c r="D44" s="38"/>
      <c r="E44" s="38"/>
      <c r="F44" s="26"/>
      <c r="G44" s="38"/>
      <c r="H44" s="38"/>
      <c r="I44" s="38"/>
      <c r="J44" s="38"/>
      <c r="K44" s="38"/>
      <c r="L44" s="38"/>
      <c r="M44" s="24">
        <f t="shared" si="1"/>
        <v>1.4</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1">
        <f>67.652+11.05879-3.32</f>
        <v>75.39079000000001</v>
      </c>
      <c r="D46" s="38"/>
      <c r="E46" s="38"/>
      <c r="F46" s="26"/>
      <c r="G46" s="38"/>
      <c r="H46" s="38"/>
      <c r="I46" s="38"/>
      <c r="J46" s="38"/>
      <c r="K46" s="38"/>
      <c r="L46" s="38"/>
      <c r="M46" s="21">
        <f t="shared" si="1"/>
        <v>75.39079000000001</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f>111.2-24.536</f>
        <v>86.664</v>
      </c>
      <c r="D48" s="38"/>
      <c r="E48" s="38"/>
      <c r="F48" s="26"/>
      <c r="G48" s="38"/>
      <c r="H48" s="38"/>
      <c r="I48" s="38"/>
      <c r="J48" s="38"/>
      <c r="K48" s="38"/>
      <c r="L48" s="38"/>
      <c r="M48" s="21">
        <f t="shared" si="1"/>
        <v>86.664</v>
      </c>
    </row>
    <row r="49" spans="1:13" s="16" customFormat="1" ht="126">
      <c r="A49" s="48" t="s">
        <v>113</v>
      </c>
      <c r="B49" s="49" t="s">
        <v>183</v>
      </c>
      <c r="C49" s="24">
        <f>590.178+137.293-50</f>
        <v>677.471</v>
      </c>
      <c r="D49" s="38"/>
      <c r="E49" s="38"/>
      <c r="F49" s="26"/>
      <c r="G49" s="38"/>
      <c r="H49" s="38"/>
      <c r="I49" s="38"/>
      <c r="J49" s="38"/>
      <c r="K49" s="38"/>
      <c r="L49" s="38"/>
      <c r="M49" s="24">
        <f t="shared" si="1"/>
        <v>677.471</v>
      </c>
    </row>
    <row r="50" spans="1:13" s="16" customFormat="1" ht="126">
      <c r="A50" s="48" t="s">
        <v>114</v>
      </c>
      <c r="B50" s="49" t="s">
        <v>184</v>
      </c>
      <c r="C50" s="24">
        <f>113.808+4.10716+4.79219-1.217</f>
        <v>121.49035000000002</v>
      </c>
      <c r="D50" s="38"/>
      <c r="E50" s="38"/>
      <c r="F50" s="26"/>
      <c r="G50" s="38"/>
      <c r="H50" s="38"/>
      <c r="I50" s="38"/>
      <c r="J50" s="38"/>
      <c r="K50" s="38"/>
      <c r="L50" s="38"/>
      <c r="M50" s="24">
        <f t="shared" si="1"/>
        <v>121.49035000000002</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8943.791-1600-3138</f>
        <v>4205.790999999999</v>
      </c>
      <c r="D52" s="38"/>
      <c r="E52" s="38"/>
      <c r="F52" s="26"/>
      <c r="G52" s="38"/>
      <c r="H52" s="38"/>
      <c r="I52" s="38"/>
      <c r="J52" s="38"/>
      <c r="K52" s="38"/>
      <c r="L52" s="38"/>
      <c r="M52" s="21">
        <f t="shared" si="1"/>
        <v>4205.790999999999</v>
      </c>
    </row>
    <row r="53" spans="1:13" s="16" customFormat="1" ht="31.5">
      <c r="A53" s="48" t="s">
        <v>63</v>
      </c>
      <c r="B53" s="49" t="s">
        <v>118</v>
      </c>
      <c r="C53" s="21">
        <f>22408.925-3500+1026</f>
        <v>19934.925</v>
      </c>
      <c r="D53" s="38"/>
      <c r="E53" s="38"/>
      <c r="F53" s="26"/>
      <c r="G53" s="38"/>
      <c r="H53" s="38"/>
      <c r="I53" s="38"/>
      <c r="J53" s="38"/>
      <c r="K53" s="38"/>
      <c r="L53" s="38"/>
      <c r="M53" s="21">
        <f t="shared" si="1"/>
        <v>19934.925</v>
      </c>
    </row>
    <row r="54" spans="1:13" s="16" customFormat="1" ht="31.5">
      <c r="A54" s="48" t="s">
        <v>64</v>
      </c>
      <c r="B54" s="60" t="s">
        <v>100</v>
      </c>
      <c r="C54" s="21">
        <v>3297.612</v>
      </c>
      <c r="D54" s="38"/>
      <c r="E54" s="38"/>
      <c r="F54" s="26"/>
      <c r="G54" s="38"/>
      <c r="H54" s="38"/>
      <c r="I54" s="38"/>
      <c r="J54" s="38"/>
      <c r="K54" s="38"/>
      <c r="L54" s="38"/>
      <c r="M54" s="21">
        <f t="shared" si="1"/>
        <v>3297.612</v>
      </c>
    </row>
    <row r="55" spans="1:13" s="16" customFormat="1" ht="31.5">
      <c r="A55" s="48" t="s">
        <v>65</v>
      </c>
      <c r="B55" s="49" t="s">
        <v>85</v>
      </c>
      <c r="C55" s="21">
        <f>7721.142-50-200</f>
        <v>7471.142</v>
      </c>
      <c r="D55" s="38"/>
      <c r="E55" s="38"/>
      <c r="F55" s="26"/>
      <c r="G55" s="38"/>
      <c r="H55" s="38"/>
      <c r="I55" s="38"/>
      <c r="J55" s="38"/>
      <c r="K55" s="38"/>
      <c r="L55" s="38"/>
      <c r="M55" s="21">
        <f t="shared" si="1"/>
        <v>7471.142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104</v>
      </c>
      <c r="B57" s="49" t="s">
        <v>105</v>
      </c>
      <c r="C57" s="21">
        <v>65.114</v>
      </c>
      <c r="D57" s="38"/>
      <c r="E57" s="38"/>
      <c r="F57" s="26"/>
      <c r="G57" s="38"/>
      <c r="H57" s="38"/>
      <c r="I57" s="38"/>
      <c r="J57" s="38"/>
      <c r="K57" s="38"/>
      <c r="L57" s="38"/>
      <c r="M57" s="21">
        <f t="shared" si="1"/>
        <v>65.114</v>
      </c>
    </row>
    <row r="58" spans="1:13" s="16" customFormat="1" ht="31.5">
      <c r="A58" s="48" t="s">
        <v>67</v>
      </c>
      <c r="B58" s="49" t="s">
        <v>87</v>
      </c>
      <c r="C58" s="21">
        <f>10750.7+2312</f>
        <v>13062.7</v>
      </c>
      <c r="D58" s="38"/>
      <c r="E58" s="38"/>
      <c r="F58" s="26"/>
      <c r="G58" s="38"/>
      <c r="H58" s="38"/>
      <c r="I58" s="38"/>
      <c r="J58" s="38"/>
      <c r="K58" s="38"/>
      <c r="L58" s="38"/>
      <c r="M58" s="21">
        <f t="shared" si="1"/>
        <v>13062.7</v>
      </c>
    </row>
    <row r="59" spans="1:13" s="16" customFormat="1" ht="47.25">
      <c r="A59" s="48" t="s">
        <v>68</v>
      </c>
      <c r="B59" s="49" t="s">
        <v>106</v>
      </c>
      <c r="C59" s="21">
        <f>511.428+118.958-50</f>
        <v>580.386</v>
      </c>
      <c r="D59" s="38"/>
      <c r="E59" s="38"/>
      <c r="F59" s="26"/>
      <c r="G59" s="38"/>
      <c r="H59" s="38"/>
      <c r="I59" s="38"/>
      <c r="J59" s="38"/>
      <c r="K59" s="38"/>
      <c r="L59" s="38"/>
      <c r="M59" s="21">
        <f t="shared" si="1"/>
        <v>580.386</v>
      </c>
    </row>
    <row r="60" spans="1:13" s="16" customFormat="1" ht="63.75" customHeight="1">
      <c r="A60" s="48" t="s">
        <v>99</v>
      </c>
      <c r="B60" s="49" t="s">
        <v>107</v>
      </c>
      <c r="C60" s="21">
        <f>307.935-35.463</f>
        <v>272.472</v>
      </c>
      <c r="D60" s="38"/>
      <c r="E60" s="38"/>
      <c r="F60" s="26"/>
      <c r="G60" s="38"/>
      <c r="H60" s="38"/>
      <c r="I60" s="38"/>
      <c r="J60" s="38"/>
      <c r="K60" s="38"/>
      <c r="L60" s="38"/>
      <c r="M60" s="21">
        <f t="shared" si="1"/>
        <v>272.472</v>
      </c>
    </row>
    <row r="61" spans="1:13" s="16" customFormat="1" ht="68.25" customHeight="1">
      <c r="A61" s="48" t="s">
        <v>191</v>
      </c>
      <c r="B61" s="49" t="s">
        <v>192</v>
      </c>
      <c r="C61" s="21">
        <v>300</v>
      </c>
      <c r="D61" s="38"/>
      <c r="E61" s="38"/>
      <c r="F61" s="26"/>
      <c r="G61" s="38"/>
      <c r="H61" s="38"/>
      <c r="I61" s="38"/>
      <c r="J61" s="38"/>
      <c r="K61" s="38"/>
      <c r="L61" s="38"/>
      <c r="M61" s="21">
        <f t="shared" si="1"/>
        <v>300</v>
      </c>
    </row>
    <row r="62" spans="1:13" s="16" customFormat="1" ht="15.75">
      <c r="A62" s="48" t="s">
        <v>69</v>
      </c>
      <c r="B62" s="49" t="s">
        <v>70</v>
      </c>
      <c r="C62" s="21">
        <f>70.4+90+1.45</f>
        <v>161.85</v>
      </c>
      <c r="D62" s="38"/>
      <c r="E62" s="38"/>
      <c r="F62" s="26"/>
      <c r="G62" s="38"/>
      <c r="H62" s="38"/>
      <c r="I62" s="38"/>
      <c r="J62" s="38"/>
      <c r="K62" s="38"/>
      <c r="L62" s="38"/>
      <c r="M62" s="21">
        <f t="shared" si="1"/>
        <v>161.85</v>
      </c>
    </row>
    <row r="63" spans="1:13" s="16" customFormat="1" ht="21.75" customHeight="1">
      <c r="A63" s="48" t="s">
        <v>101</v>
      </c>
      <c r="B63" s="44" t="s">
        <v>102</v>
      </c>
      <c r="C63" s="21">
        <f>55.956+0.952+10.9</f>
        <v>67.808</v>
      </c>
      <c r="D63" s="38"/>
      <c r="E63" s="38"/>
      <c r="F63" s="26"/>
      <c r="G63" s="38"/>
      <c r="H63" s="38"/>
      <c r="I63" s="38"/>
      <c r="J63" s="38"/>
      <c r="K63" s="38"/>
      <c r="L63" s="38"/>
      <c r="M63" s="21">
        <f t="shared" si="1"/>
        <v>67.808</v>
      </c>
    </row>
    <row r="64" spans="1:13" s="16" customFormat="1" ht="31.5">
      <c r="A64" s="48" t="s">
        <v>71</v>
      </c>
      <c r="B64" s="10" t="s">
        <v>112</v>
      </c>
      <c r="C64" s="21">
        <f>17.4-3</f>
        <v>14.399999999999999</v>
      </c>
      <c r="D64" s="38"/>
      <c r="E64" s="38"/>
      <c r="F64" s="26"/>
      <c r="G64" s="38"/>
      <c r="H64" s="38"/>
      <c r="I64" s="38"/>
      <c r="J64" s="38"/>
      <c r="K64" s="38"/>
      <c r="L64" s="38"/>
      <c r="M64" s="21">
        <f t="shared" si="1"/>
        <v>14.399999999999999</v>
      </c>
    </row>
    <row r="65" spans="1:13" s="16" customFormat="1" ht="31.5">
      <c r="A65" s="48" t="s">
        <v>72</v>
      </c>
      <c r="B65" s="49" t="s">
        <v>172</v>
      </c>
      <c r="C65" s="21">
        <v>754.1</v>
      </c>
      <c r="D65" s="38"/>
      <c r="E65" s="38"/>
      <c r="F65" s="26"/>
      <c r="G65" s="38"/>
      <c r="H65" s="38"/>
      <c r="I65" s="38"/>
      <c r="J65" s="38"/>
      <c r="K65" s="38"/>
      <c r="L65" s="38"/>
      <c r="M65" s="21">
        <f t="shared" si="1"/>
        <v>754.1</v>
      </c>
    </row>
    <row r="66" spans="1:13" s="16" customFormat="1" ht="15.75">
      <c r="A66" s="48" t="s">
        <v>175</v>
      </c>
      <c r="B66" s="47" t="s">
        <v>174</v>
      </c>
      <c r="C66" s="21">
        <f>0.5+0.6+7.5+0.4+0.2</f>
        <v>9.2</v>
      </c>
      <c r="D66" s="38"/>
      <c r="E66" s="38"/>
      <c r="F66" s="26"/>
      <c r="G66" s="38"/>
      <c r="H66" s="38"/>
      <c r="I66" s="38"/>
      <c r="J66" s="38"/>
      <c r="K66" s="38"/>
      <c r="L66" s="38"/>
      <c r="M66" s="21">
        <f t="shared" si="1"/>
        <v>9.2</v>
      </c>
    </row>
    <row r="67" spans="1:13" s="16" customFormat="1" ht="35.25" customHeight="1">
      <c r="A67" s="48" t="s">
        <v>73</v>
      </c>
      <c r="B67" s="49" t="s">
        <v>145</v>
      </c>
      <c r="C67" s="21">
        <f>3361.136+57.554-76.33+6.47-14-0.9+35.9</f>
        <v>3369.83</v>
      </c>
      <c r="D67" s="21">
        <f>2133.8-52+52.439</f>
        <v>2134.239</v>
      </c>
      <c r="E67" s="21">
        <f>107.3+6.47-10</f>
        <v>103.77</v>
      </c>
      <c r="F67" s="21">
        <f>G67+J67</f>
        <v>206</v>
      </c>
      <c r="G67" s="21">
        <v>206</v>
      </c>
      <c r="H67" s="21">
        <v>13.5</v>
      </c>
      <c r="I67" s="21"/>
      <c r="J67" s="69"/>
      <c r="K67" s="69"/>
      <c r="L67" s="69"/>
      <c r="M67" s="21">
        <f t="shared" si="1"/>
        <v>3575.83</v>
      </c>
    </row>
    <row r="68" spans="1:13" s="16" customFormat="1" ht="63">
      <c r="A68" s="48" t="s">
        <v>135</v>
      </c>
      <c r="B68" s="49" t="s">
        <v>136</v>
      </c>
      <c r="C68" s="21">
        <f>200+10</f>
        <v>210</v>
      </c>
      <c r="D68" s="21"/>
      <c r="E68" s="21"/>
      <c r="F68" s="21"/>
      <c r="G68" s="21"/>
      <c r="H68" s="21"/>
      <c r="I68" s="21"/>
      <c r="J68" s="21"/>
      <c r="K68" s="21"/>
      <c r="L68" s="21"/>
      <c r="M68" s="21">
        <f t="shared" si="1"/>
        <v>210</v>
      </c>
    </row>
    <row r="69" spans="1:13" s="16" customFormat="1" ht="31.5">
      <c r="A69" s="48" t="s">
        <v>147</v>
      </c>
      <c r="B69" s="49" t="s">
        <v>148</v>
      </c>
      <c r="C69" s="21">
        <f>317.8+7.04-10.9+3.03</f>
        <v>316.97</v>
      </c>
      <c r="D69" s="21">
        <f>180.9-8-1.83</f>
        <v>171.07</v>
      </c>
      <c r="E69" s="21">
        <f>5.2+3.03+2.5</f>
        <v>10.73</v>
      </c>
      <c r="F69" s="21"/>
      <c r="G69" s="21"/>
      <c r="H69" s="21"/>
      <c r="I69" s="21"/>
      <c r="J69" s="21"/>
      <c r="K69" s="21"/>
      <c r="L69" s="21"/>
      <c r="M69" s="21">
        <f t="shared" si="1"/>
        <v>316.97</v>
      </c>
    </row>
    <row r="70" spans="1:13" s="16" customFormat="1" ht="31.5">
      <c r="A70" s="48" t="s">
        <v>78</v>
      </c>
      <c r="B70" s="49" t="s">
        <v>137</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97</v>
      </c>
      <c r="B72" s="60" t="s">
        <v>98</v>
      </c>
      <c r="C72" s="21">
        <f>10.664+0.1</f>
        <v>10.764</v>
      </c>
      <c r="D72" s="38"/>
      <c r="E72" s="38"/>
      <c r="F72" s="26"/>
      <c r="G72" s="38"/>
      <c r="H72" s="38"/>
      <c r="I72" s="38"/>
      <c r="J72" s="38"/>
      <c r="K72" s="38"/>
      <c r="L72" s="38"/>
      <c r="M72" s="21">
        <f t="shared" si="1"/>
        <v>10.764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633.085+0.729-356.828-3.5</f>
        <v>273.4860000000001</v>
      </c>
      <c r="D74" s="21">
        <f>450.427-262.948</f>
        <v>187.47900000000004</v>
      </c>
      <c r="E74" s="21">
        <v>5.823</v>
      </c>
      <c r="F74" s="17">
        <f>G74+J74</f>
        <v>0</v>
      </c>
      <c r="G74" s="21"/>
      <c r="H74" s="21"/>
      <c r="I74" s="21"/>
      <c r="J74" s="21"/>
      <c r="K74" s="21"/>
      <c r="L74" s="21"/>
      <c r="M74" s="21">
        <f t="shared" si="1"/>
        <v>273.4860000000001</v>
      </c>
    </row>
    <row r="75" spans="1:13" s="16" customFormat="1" ht="15.75">
      <c r="A75" s="45"/>
      <c r="B75" s="47" t="s">
        <v>39</v>
      </c>
      <c r="C75" s="21"/>
      <c r="D75" s="21"/>
      <c r="E75" s="21"/>
      <c r="F75" s="21" t="s">
        <v>91</v>
      </c>
      <c r="G75" s="21"/>
      <c r="H75" s="21"/>
      <c r="I75" s="21"/>
      <c r="J75" s="21"/>
      <c r="K75" s="21"/>
      <c r="L75" s="21"/>
      <c r="M75" s="21" t="s">
        <v>91</v>
      </c>
    </row>
    <row r="76" spans="1:13" s="16" customFormat="1" ht="31.5">
      <c r="A76" s="41" t="s">
        <v>151</v>
      </c>
      <c r="B76" s="70" t="s">
        <v>152</v>
      </c>
      <c r="C76" s="21">
        <f>2+0.905</f>
        <v>2.9050000000000002</v>
      </c>
      <c r="D76" s="21"/>
      <c r="E76" s="21"/>
      <c r="F76" s="21"/>
      <c r="G76" s="21"/>
      <c r="H76" s="21"/>
      <c r="I76" s="21"/>
      <c r="J76" s="21"/>
      <c r="K76" s="21"/>
      <c r="L76" s="21"/>
      <c r="M76" s="21">
        <f t="shared" si="1"/>
        <v>2.9050000000000002</v>
      </c>
    </row>
    <row r="77" spans="1:13" s="16" customFormat="1" ht="31.5">
      <c r="A77" s="41" t="s">
        <v>189</v>
      </c>
      <c r="B77" s="47" t="s">
        <v>190</v>
      </c>
      <c r="C77" s="21">
        <v>6</v>
      </c>
      <c r="D77" s="21"/>
      <c r="E77" s="21"/>
      <c r="F77" s="21"/>
      <c r="G77" s="21"/>
      <c r="H77" s="21"/>
      <c r="I77" s="21"/>
      <c r="J77" s="21"/>
      <c r="K77" s="21"/>
      <c r="L77" s="21"/>
      <c r="M77" s="21">
        <f t="shared" si="1"/>
        <v>6</v>
      </c>
    </row>
    <row r="78" spans="1:13" s="16" customFormat="1" ht="15.75">
      <c r="A78" s="45"/>
      <c r="B78" s="71" t="s">
        <v>8</v>
      </c>
      <c r="C78" s="38">
        <f>C35+C36+C37+C38+C40+C42+C43+C44+C45+C46+C47+C48+C49+C50+C51+C52+C53+C54+C55+C56+C57+C58+C59+C60+C62+C63+C64+C65+C67+C68++C69+C70+C71+C72+C73+C74+C76+C66+C77+C61</f>
        <v>67428.188</v>
      </c>
      <c r="D78" s="38">
        <f>D35+D36+D37+D38+D40+D42+D43+D44+D45+D46+D47+D48+D49+D50+D51+D52+D53+D54+D55+D56+D57+D58+D59+D60+D62+D63+D64+D65+D67+D68++D69+D70+D71+D72+D73+D74+D76</f>
        <v>2492.7880000000005</v>
      </c>
      <c r="E78" s="38">
        <f>E35+E36+E37+E38+E40+E42+E43+E44+E45+E46+E47+E48+E49+E50+E51+E52+E53+E54+E55+E56+E57+E58+E59+E60+E62+E63+E64+E65+E67+E68++E69+E70+E71+E72+E73+E74+E76</f>
        <v>120.32300000000001</v>
      </c>
      <c r="F78" s="38">
        <f>G78+J78</f>
        <v>206</v>
      </c>
      <c r="G78" s="38">
        <f aca="true" t="shared" si="4" ref="G78:L78">SUM(G35:G76)</f>
        <v>206</v>
      </c>
      <c r="H78" s="38">
        <f t="shared" si="4"/>
        <v>13.5</v>
      </c>
      <c r="I78" s="38">
        <f t="shared" si="4"/>
        <v>0</v>
      </c>
      <c r="J78" s="38">
        <f t="shared" si="4"/>
        <v>0</v>
      </c>
      <c r="K78" s="38">
        <f t="shared" si="4"/>
        <v>0</v>
      </c>
      <c r="L78" s="38">
        <f t="shared" si="4"/>
        <v>0</v>
      </c>
      <c r="M78" s="38">
        <f t="shared" si="1"/>
        <v>67634.188</v>
      </c>
    </row>
    <row r="79" spans="1:13" s="16" customFormat="1" ht="15.75">
      <c r="A79" s="50" t="s">
        <v>11</v>
      </c>
      <c r="B79" s="9" t="s">
        <v>10</v>
      </c>
      <c r="C79" s="21"/>
      <c r="D79" s="21"/>
      <c r="E79" s="21"/>
      <c r="F79" s="8"/>
      <c r="G79" s="21"/>
      <c r="H79" s="21"/>
      <c r="I79" s="21"/>
      <c r="J79" s="21"/>
      <c r="K79" s="21"/>
      <c r="L79" s="21"/>
      <c r="M79" s="21"/>
    </row>
    <row r="80" spans="1:13" s="16" customFormat="1" ht="15.75">
      <c r="A80" s="22" t="s">
        <v>18</v>
      </c>
      <c r="B80" s="10" t="s">
        <v>12</v>
      </c>
      <c r="C80" s="21">
        <f>1895.569+21.434-91.794+9.38-56.6-5</f>
        <v>1772.989</v>
      </c>
      <c r="D80" s="21">
        <f>1304.035-67.095-27</f>
        <v>1209.94</v>
      </c>
      <c r="E80" s="21">
        <f>92.1+9.38-10</f>
        <v>91.47999999999999</v>
      </c>
      <c r="F80" s="21">
        <f>SUM(G80,J80)</f>
        <v>24.3</v>
      </c>
      <c r="G80" s="21"/>
      <c r="H80" s="21"/>
      <c r="I80" s="21"/>
      <c r="J80" s="21">
        <f>7+12.3+5</f>
        <v>24.3</v>
      </c>
      <c r="K80" s="17">
        <f>7+12.3+5</f>
        <v>24.3</v>
      </c>
      <c r="L80" s="17">
        <f>12.3+5</f>
        <v>17.3</v>
      </c>
      <c r="M80" s="21">
        <f>F80+C80</f>
        <v>1797.289</v>
      </c>
    </row>
    <row r="81" spans="1:13" s="16" customFormat="1" ht="15.75">
      <c r="A81" s="22" t="s">
        <v>19</v>
      </c>
      <c r="B81" s="10" t="s">
        <v>13</v>
      </c>
      <c r="C81" s="21">
        <f>354.518+1.695-11.568+7.67-26.5</f>
        <v>325.815</v>
      </c>
      <c r="D81" s="21">
        <f>226.774-8.487-12.6</f>
        <v>205.687</v>
      </c>
      <c r="E81" s="21">
        <f>38.275+7.67-7</f>
        <v>38.945</v>
      </c>
      <c r="F81" s="21"/>
      <c r="G81" s="21"/>
      <c r="H81" s="21"/>
      <c r="I81" s="21"/>
      <c r="J81" s="21"/>
      <c r="K81" s="21"/>
      <c r="L81" s="21"/>
      <c r="M81" s="21">
        <f>F81+C81</f>
        <v>325.815</v>
      </c>
    </row>
    <row r="82" spans="1:13" s="16" customFormat="1" ht="31.5">
      <c r="A82" s="48" t="s">
        <v>21</v>
      </c>
      <c r="B82" s="49" t="s">
        <v>26</v>
      </c>
      <c r="C82" s="21">
        <f>768.313+3.608-29.534+11.96+18.35</f>
        <v>772.697</v>
      </c>
      <c r="D82" s="21">
        <f>488.2-21.68+23</f>
        <v>489.52</v>
      </c>
      <c r="E82" s="21">
        <f>81.163+11.96-7</f>
        <v>86.12299999999999</v>
      </c>
      <c r="F82" s="21">
        <f>SUM(G82,J82)</f>
        <v>12.6</v>
      </c>
      <c r="G82" s="21">
        <v>12.6</v>
      </c>
      <c r="H82" s="8"/>
      <c r="I82" s="21"/>
      <c r="J82" s="21"/>
      <c r="K82" s="8"/>
      <c r="L82" s="8"/>
      <c r="M82" s="21">
        <f>F82+C82</f>
        <v>785.297</v>
      </c>
    </row>
    <row r="83" spans="1:13" s="16" customFormat="1" ht="15.75">
      <c r="A83" s="48" t="s">
        <v>0</v>
      </c>
      <c r="B83" s="49" t="s">
        <v>1</v>
      </c>
      <c r="C83" s="21">
        <f>805.289+1.114-38.332+5.24-8.6</f>
        <v>764.711</v>
      </c>
      <c r="D83" s="21">
        <f>570.3-27.917</f>
        <v>542.3829999999999</v>
      </c>
      <c r="E83" s="21">
        <f>24.139+5.24-8</f>
        <v>21.378999999999998</v>
      </c>
      <c r="F83" s="21">
        <f>SUM(G83,J83)</f>
        <v>32</v>
      </c>
      <c r="G83" s="21">
        <v>32</v>
      </c>
      <c r="H83" s="21">
        <v>20.4</v>
      </c>
      <c r="I83" s="21"/>
      <c r="J83" s="21"/>
      <c r="K83" s="53"/>
      <c r="L83" s="53"/>
      <c r="M83" s="21">
        <f>F83+C83</f>
        <v>796.711</v>
      </c>
    </row>
    <row r="84" spans="1:13" s="16" customFormat="1" ht="21.75" customHeight="1">
      <c r="A84" s="48" t="s">
        <v>22</v>
      </c>
      <c r="B84" s="49" t="s">
        <v>14</v>
      </c>
      <c r="C84" s="21">
        <f>220.666+7.856-5.963+3.19+4.25</f>
        <v>229.999</v>
      </c>
      <c r="D84" s="21">
        <f>145.82-4.375+4</f>
        <v>145.445</v>
      </c>
      <c r="E84" s="21">
        <f>10.314+3.19</f>
        <v>13.504</v>
      </c>
      <c r="F84" s="21">
        <f>SUM(G84,J84)</f>
        <v>6.3</v>
      </c>
      <c r="G84" s="21">
        <v>6.3</v>
      </c>
      <c r="H84" s="26"/>
      <c r="I84" s="21"/>
      <c r="J84" s="26"/>
      <c r="K84" s="26"/>
      <c r="L84" s="26"/>
      <c r="M84" s="21">
        <f>F84+C84</f>
        <v>236.299</v>
      </c>
    </row>
    <row r="85" spans="1:13" s="16" customFormat="1" ht="6" customHeight="1">
      <c r="A85" s="48"/>
      <c r="B85" s="49"/>
      <c r="C85" s="21"/>
      <c r="D85" s="21"/>
      <c r="E85" s="21"/>
      <c r="F85" s="26"/>
      <c r="G85" s="53"/>
      <c r="H85" s="53"/>
      <c r="I85" s="53"/>
      <c r="J85" s="53"/>
      <c r="K85" s="53"/>
      <c r="L85" s="53"/>
      <c r="M85" s="21"/>
    </row>
    <row r="86" spans="1:13" s="16" customFormat="1" ht="15.75">
      <c r="A86" s="48"/>
      <c r="B86" s="63" t="s">
        <v>8</v>
      </c>
      <c r="C86" s="38">
        <f>C84+C80+C81+C82+C83</f>
        <v>3866.2110000000002</v>
      </c>
      <c r="D86" s="38">
        <f aca="true" t="shared" si="5" ref="D86:L86">D84+D80+D81+D82+D83</f>
        <v>2592.975</v>
      </c>
      <c r="E86" s="38">
        <f>E84+E80+E81+E82+E83</f>
        <v>251.43099999999998</v>
      </c>
      <c r="F86" s="38">
        <f t="shared" si="5"/>
        <v>75.2</v>
      </c>
      <c r="G86" s="38">
        <f t="shared" si="5"/>
        <v>50.9</v>
      </c>
      <c r="H86" s="38">
        <f t="shared" si="5"/>
        <v>20.4</v>
      </c>
      <c r="I86" s="38">
        <f t="shared" si="5"/>
        <v>0</v>
      </c>
      <c r="J86" s="38">
        <f t="shared" si="5"/>
        <v>24.3</v>
      </c>
      <c r="K86" s="38">
        <f t="shared" si="5"/>
        <v>24.3</v>
      </c>
      <c r="L86" s="38">
        <f t="shared" si="5"/>
        <v>17.3</v>
      </c>
      <c r="M86" s="38">
        <f>C86+F86</f>
        <v>3941.411</v>
      </c>
    </row>
    <row r="87" spans="1:13" s="16" customFormat="1" ht="18.75">
      <c r="A87" s="51">
        <v>120000</v>
      </c>
      <c r="B87" s="52" t="s">
        <v>124</v>
      </c>
      <c r="C87" s="21"/>
      <c r="D87" s="21"/>
      <c r="E87" s="21"/>
      <c r="F87" s="21"/>
      <c r="G87" s="53"/>
      <c r="H87" s="53"/>
      <c r="I87" s="53"/>
      <c r="J87" s="53"/>
      <c r="K87" s="26"/>
      <c r="L87" s="26"/>
      <c r="M87" s="21"/>
    </row>
    <row r="88" spans="1:13" s="16" customFormat="1" ht="15.75">
      <c r="A88" s="48" t="s">
        <v>17</v>
      </c>
      <c r="B88" s="49" t="s">
        <v>32</v>
      </c>
      <c r="C88" s="21">
        <f>C89+C90</f>
        <v>32.82261</v>
      </c>
      <c r="D88" s="21"/>
      <c r="E88" s="21"/>
      <c r="F88" s="21"/>
      <c r="G88" s="53"/>
      <c r="H88" s="53"/>
      <c r="I88" s="53"/>
      <c r="J88" s="53"/>
      <c r="K88" s="26"/>
      <c r="L88" s="26"/>
      <c r="M88" s="21">
        <f>C88+F88</f>
        <v>32.82261</v>
      </c>
    </row>
    <row r="89" spans="1:13" s="16" customFormat="1" ht="15.75">
      <c r="A89" s="48" t="s">
        <v>25</v>
      </c>
      <c r="B89" s="54" t="s">
        <v>23</v>
      </c>
      <c r="C89" s="21">
        <f>54.625-30.80239</f>
        <v>23.82261</v>
      </c>
      <c r="D89" s="21"/>
      <c r="E89" s="21"/>
      <c r="F89" s="26"/>
      <c r="G89" s="53"/>
      <c r="H89" s="53"/>
      <c r="I89" s="53"/>
      <c r="J89" s="53"/>
      <c r="K89" s="26"/>
      <c r="L89" s="26"/>
      <c r="M89" s="21">
        <f>C89+F89</f>
        <v>23.82261</v>
      </c>
    </row>
    <row r="90" spans="1:13" s="16" customFormat="1" ht="15.75">
      <c r="A90" s="48" t="s">
        <v>33</v>
      </c>
      <c r="B90" s="54" t="s">
        <v>142</v>
      </c>
      <c r="C90" s="21">
        <f>40-32+1</f>
        <v>9</v>
      </c>
      <c r="D90" s="21"/>
      <c r="E90" s="21"/>
      <c r="F90" s="26"/>
      <c r="G90" s="53"/>
      <c r="H90" s="53"/>
      <c r="I90" s="53"/>
      <c r="J90" s="53"/>
      <c r="K90" s="26"/>
      <c r="L90" s="26"/>
      <c r="M90" s="21">
        <f>C90+F90</f>
        <v>9</v>
      </c>
    </row>
    <row r="91" spans="1:13" s="16" customFormat="1" ht="15.75">
      <c r="A91" s="55"/>
      <c r="B91" s="9" t="s">
        <v>2</v>
      </c>
      <c r="C91" s="38">
        <f>C88</f>
        <v>32.82261</v>
      </c>
      <c r="D91" s="26"/>
      <c r="E91" s="26"/>
      <c r="F91" s="26"/>
      <c r="G91" s="26"/>
      <c r="H91" s="26"/>
      <c r="I91" s="26"/>
      <c r="J91" s="26"/>
      <c r="K91" s="26"/>
      <c r="L91" s="26"/>
      <c r="M91" s="38">
        <f>C91+F91</f>
        <v>32.82261</v>
      </c>
    </row>
    <row r="92" spans="1:13" s="16" customFormat="1" ht="15.75">
      <c r="A92" s="58" t="s">
        <v>40</v>
      </c>
      <c r="B92" s="61" t="s">
        <v>41</v>
      </c>
      <c r="C92" s="38"/>
      <c r="D92" s="38"/>
      <c r="E92" s="38"/>
      <c r="F92" s="26"/>
      <c r="G92" s="26"/>
      <c r="H92" s="26"/>
      <c r="I92" s="26"/>
      <c r="J92" s="26"/>
      <c r="K92" s="26"/>
      <c r="L92" s="26"/>
      <c r="M92" s="21"/>
    </row>
    <row r="93" spans="1:13" s="16" customFormat="1" ht="15.75">
      <c r="A93" s="45" t="s">
        <v>138</v>
      </c>
      <c r="B93" s="47" t="s">
        <v>139</v>
      </c>
      <c r="C93" s="21">
        <f>11</f>
        <v>11</v>
      </c>
      <c r="D93" s="21"/>
      <c r="E93" s="21"/>
      <c r="F93" s="26"/>
      <c r="G93" s="26"/>
      <c r="H93" s="26"/>
      <c r="I93" s="26"/>
      <c r="J93" s="26"/>
      <c r="K93" s="26"/>
      <c r="L93" s="26"/>
      <c r="M93" s="21">
        <f>C93+F93</f>
        <v>11</v>
      </c>
    </row>
    <row r="94" spans="1:13" s="16" customFormat="1" ht="15.7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883.224+11.397-8.532-12+6.96+51-4</f>
        <v>928.0490000000001</v>
      </c>
      <c r="D95" s="21">
        <f>574.425-6.303-8.8+25</f>
        <v>584.322</v>
      </c>
      <c r="E95" s="21">
        <f>74.782+6.96+17</f>
        <v>98.74199999999999</v>
      </c>
      <c r="F95" s="26"/>
      <c r="G95" s="26"/>
      <c r="H95" s="26"/>
      <c r="I95" s="26"/>
      <c r="J95" s="26"/>
      <c r="K95" s="26"/>
      <c r="L95" s="26"/>
      <c r="M95" s="21">
        <f>C95+F95</f>
        <v>928.0490000000001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f>
        <v>14.172999999999998</v>
      </c>
      <c r="D97" s="26"/>
      <c r="E97" s="21"/>
      <c r="F97" s="26"/>
      <c r="G97" s="26"/>
      <c r="H97" s="26"/>
      <c r="I97" s="26"/>
      <c r="J97" s="26"/>
      <c r="K97" s="26"/>
      <c r="L97" s="26"/>
      <c r="M97" s="21">
        <f>C97+F97</f>
        <v>14.172999999999998</v>
      </c>
    </row>
    <row r="98" spans="1:13" s="16" customFormat="1" ht="31.5">
      <c r="A98" s="43" t="s">
        <v>16</v>
      </c>
      <c r="B98" s="47" t="s">
        <v>134</v>
      </c>
      <c r="C98" s="21">
        <f>108.5-6.1</f>
        <v>102.4</v>
      </c>
      <c r="D98" s="21"/>
      <c r="E98" s="21"/>
      <c r="F98" s="53"/>
      <c r="G98" s="53"/>
      <c r="H98" s="53"/>
      <c r="I98" s="53"/>
      <c r="J98" s="53"/>
      <c r="K98" s="53"/>
      <c r="L98" s="53"/>
      <c r="M98" s="21">
        <f>SUM(C98,F98)</f>
        <v>102.4</v>
      </c>
    </row>
    <row r="99" spans="1:13" s="16" customFormat="1" ht="15.75">
      <c r="A99" s="62"/>
      <c r="B99" s="63" t="s">
        <v>8</v>
      </c>
      <c r="C99" s="38">
        <f>C93+C94+C95+C96+C98+C97</f>
        <v>1055.622</v>
      </c>
      <c r="D99" s="38">
        <f>D93+D94+D95+D96+D98</f>
        <v>584.322</v>
      </c>
      <c r="E99" s="38">
        <f>E93+E94+E95+E96+E98</f>
        <v>98.74199999999999</v>
      </c>
      <c r="F99" s="8"/>
      <c r="G99" s="8"/>
      <c r="H99" s="8"/>
      <c r="I99" s="8"/>
      <c r="J99" s="8"/>
      <c r="K99" s="8"/>
      <c r="L99" s="8"/>
      <c r="M99" s="21">
        <f>C99+F99</f>
        <v>1055.622</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1">
        <v>55</v>
      </c>
      <c r="D101" s="38"/>
      <c r="E101" s="38"/>
      <c r="F101" s="38"/>
      <c r="G101" s="38"/>
      <c r="H101" s="38"/>
      <c r="I101" s="38"/>
      <c r="J101" s="38"/>
      <c r="K101" s="38"/>
      <c r="L101" s="38"/>
      <c r="M101" s="21">
        <f>C101+F101</f>
        <v>55</v>
      </c>
    </row>
    <row r="102" spans="1:13" ht="52.5" customHeight="1">
      <c r="A102" s="48" t="s">
        <v>131</v>
      </c>
      <c r="B102" s="49" t="s">
        <v>132</v>
      </c>
      <c r="C102" s="21">
        <f>87.1+27.061+10</f>
        <v>124.161</v>
      </c>
      <c r="D102" s="38"/>
      <c r="E102" s="38"/>
      <c r="F102" s="38"/>
      <c r="G102" s="38"/>
      <c r="H102" s="38"/>
      <c r="I102" s="38"/>
      <c r="J102" s="38"/>
      <c r="K102" s="38"/>
      <c r="L102" s="38"/>
      <c r="M102" s="21">
        <f>C102+F102</f>
        <v>124.161</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38">
        <f>C101+C102</f>
        <v>179.161</v>
      </c>
      <c r="D104" s="26"/>
      <c r="E104" s="26"/>
      <c r="F104" s="38">
        <f>F101+F102+F103</f>
        <v>538.284</v>
      </c>
      <c r="G104" s="38">
        <f>G101+G102+G103</f>
        <v>164.899</v>
      </c>
      <c r="H104" s="38"/>
      <c r="I104" s="38"/>
      <c r="J104" s="38">
        <f>J101+J102+J103</f>
        <v>373.385</v>
      </c>
      <c r="K104" s="26"/>
      <c r="L104" s="26"/>
      <c r="M104" s="38">
        <f>C104+F104</f>
        <v>717.4449999999999</v>
      </c>
    </row>
    <row r="105" spans="1:13" ht="42.75" customHeight="1">
      <c r="A105" s="51">
        <v>210000</v>
      </c>
      <c r="B105" s="88" t="s">
        <v>176</v>
      </c>
      <c r="C105" s="38"/>
      <c r="D105" s="26"/>
      <c r="E105" s="26"/>
      <c r="F105" s="38"/>
      <c r="G105" s="38"/>
      <c r="H105" s="38"/>
      <c r="I105" s="38"/>
      <c r="J105" s="38"/>
      <c r="K105" s="26"/>
      <c r="L105" s="26"/>
      <c r="M105" s="38"/>
    </row>
    <row r="106" spans="1:13" ht="36.75" customHeight="1">
      <c r="A106" s="89" t="s">
        <v>177</v>
      </c>
      <c r="B106" s="90" t="s">
        <v>178</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v>311.5</v>
      </c>
      <c r="D112" s="21"/>
      <c r="E112" s="21"/>
      <c r="F112" s="26"/>
      <c r="G112" s="26"/>
      <c r="H112" s="26"/>
      <c r="I112" s="26"/>
      <c r="J112" s="26"/>
      <c r="K112" s="26"/>
      <c r="L112" s="21"/>
      <c r="M112" s="21">
        <f t="shared" si="6"/>
        <v>311.5</v>
      </c>
    </row>
    <row r="113" spans="1:13" ht="64.5" customHeight="1" hidden="1">
      <c r="A113" s="48"/>
      <c r="B113" s="79"/>
      <c r="C113" s="21"/>
      <c r="D113" s="21"/>
      <c r="E113" s="21"/>
      <c r="F113" s="26"/>
      <c r="G113" s="26"/>
      <c r="H113" s="26"/>
      <c r="I113" s="26"/>
      <c r="J113" s="26"/>
      <c r="K113" s="26"/>
      <c r="L113" s="21"/>
      <c r="M113" s="21">
        <f t="shared" si="6"/>
        <v>0</v>
      </c>
    </row>
    <row r="114" spans="1:13" ht="64.5" customHeight="1">
      <c r="A114" s="48" t="s">
        <v>179</v>
      </c>
      <c r="B114" s="91" t="s">
        <v>180</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f>
        <v>104.971</v>
      </c>
      <c r="D116" s="21"/>
      <c r="E116" s="21"/>
      <c r="F116" s="24">
        <f t="shared" si="7"/>
        <v>48.18355</v>
      </c>
      <c r="G116" s="80">
        <v>6.23748</v>
      </c>
      <c r="H116" s="8"/>
      <c r="I116" s="8"/>
      <c r="J116" s="80">
        <v>41.94607</v>
      </c>
      <c r="K116" s="81"/>
      <c r="L116" s="69"/>
      <c r="M116" s="24">
        <f t="shared" si="6"/>
        <v>153.15455</v>
      </c>
    </row>
    <row r="117" spans="1:13" ht="51" customHeight="1">
      <c r="A117" s="48" t="s">
        <v>193</v>
      </c>
      <c r="B117" s="79" t="s">
        <v>194</v>
      </c>
      <c r="C117" s="21">
        <v>33.5</v>
      </c>
      <c r="D117" s="21"/>
      <c r="E117" s="21"/>
      <c r="F117" s="24"/>
      <c r="G117" s="80"/>
      <c r="H117" s="8"/>
      <c r="I117" s="8"/>
      <c r="J117" s="80"/>
      <c r="K117" s="81"/>
      <c r="L117" s="69"/>
      <c r="M117" s="21">
        <f t="shared" si="6"/>
        <v>33.5</v>
      </c>
    </row>
    <row r="118" spans="1:13" ht="24.75" customHeight="1">
      <c r="A118" s="65" t="s">
        <v>20</v>
      </c>
      <c r="B118" s="66" t="s">
        <v>126</v>
      </c>
      <c r="C118" s="21">
        <f>162+7.104+20</f>
        <v>189.104</v>
      </c>
      <c r="D118" s="21"/>
      <c r="E118" s="21"/>
      <c r="F118" s="21"/>
      <c r="G118" s="21"/>
      <c r="H118" s="21"/>
      <c r="I118" s="21"/>
      <c r="J118" s="26"/>
      <c r="K118" s="26"/>
      <c r="L118" s="26"/>
      <c r="M118" s="21">
        <f t="shared" si="6"/>
        <v>189.104</v>
      </c>
    </row>
    <row r="119" spans="1:13" ht="19.5" customHeight="1">
      <c r="A119" s="48"/>
      <c r="B119" s="82" t="s">
        <v>2</v>
      </c>
      <c r="C119" s="77">
        <f>C110+C111+C112+C118+C115+C116+C117+C114</f>
        <v>11356.658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12568.54155</v>
      </c>
    </row>
    <row r="120" spans="1:13" ht="61.5" customHeight="1" hidden="1">
      <c r="A120" s="32"/>
      <c r="B120" s="33"/>
      <c r="C120" s="27"/>
      <c r="D120" s="27"/>
      <c r="E120" s="27"/>
      <c r="F120" s="27">
        <f t="shared" si="7"/>
        <v>0</v>
      </c>
      <c r="G120" s="27"/>
      <c r="H120" s="27"/>
      <c r="I120" s="27"/>
      <c r="J120" s="27"/>
      <c r="K120" s="27"/>
      <c r="L120" s="27"/>
      <c r="M120" s="27">
        <f t="shared" si="6"/>
        <v>0</v>
      </c>
    </row>
    <row r="121" spans="1:14" ht="18.75">
      <c r="A121" s="22"/>
      <c r="B121" s="40" t="s">
        <v>108</v>
      </c>
      <c r="C121" s="72">
        <f>C16+C29+C33+C78+C86+C91+C99+C119+C104+C107</f>
        <v>153035.30161000002</v>
      </c>
      <c r="D121" s="38">
        <f>D16+D29+D33+D78+D86+D91+D99+D119+D104</f>
        <v>43092.58199999999</v>
      </c>
      <c r="E121" s="38">
        <f>E16+E29+E33+E78+E86+E91+E99+E119+E104</f>
        <v>6614.014</v>
      </c>
      <c r="F121" s="72">
        <f>G121+J121</f>
        <v>2726.25655</v>
      </c>
      <c r="G121" s="72">
        <f aca="true" t="shared" si="9" ref="G121:L121">G16+G29+G33+G78+G86+G91+G99+G119+G104</f>
        <v>1185.0364799999998</v>
      </c>
      <c r="H121" s="38">
        <f t="shared" si="9"/>
        <v>163.9</v>
      </c>
      <c r="I121" s="38">
        <f t="shared" si="9"/>
        <v>0</v>
      </c>
      <c r="J121" s="72">
        <f t="shared" si="9"/>
        <v>1541.22007</v>
      </c>
      <c r="K121" s="38">
        <f t="shared" si="9"/>
        <v>333.08900000000006</v>
      </c>
      <c r="L121" s="38">
        <f t="shared" si="9"/>
        <v>273.368</v>
      </c>
      <c r="M121" s="72">
        <f t="shared" si="6"/>
        <v>155761.55816000002</v>
      </c>
      <c r="N121" s="19"/>
    </row>
    <row r="122" spans="1:14" ht="31.5">
      <c r="A122" s="22"/>
      <c r="B122" s="10" t="s">
        <v>96</v>
      </c>
      <c r="C122" s="21">
        <v>62802.1</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64552.26755</v>
      </c>
      <c r="N122" s="19"/>
    </row>
    <row r="123" spans="1:14" ht="15.75">
      <c r="A123" s="22"/>
      <c r="B123" s="10"/>
      <c r="C123" s="21"/>
      <c r="D123" s="24"/>
      <c r="E123" s="24"/>
      <c r="F123" s="21"/>
      <c r="G123" s="21"/>
      <c r="H123" s="21"/>
      <c r="I123" s="21"/>
      <c r="J123" s="21"/>
      <c r="K123" s="21"/>
      <c r="L123" s="21"/>
      <c r="M123" s="21"/>
      <c r="N123" s="19"/>
    </row>
    <row r="124" spans="1:13" ht="21.75" customHeight="1">
      <c r="A124" s="7"/>
      <c r="B124" s="92" t="s">
        <v>159</v>
      </c>
      <c r="C124" s="92"/>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75" hidden="1">
      <c r="A126" s="7"/>
      <c r="B126" s="10"/>
      <c r="C126" s="19"/>
      <c r="D126" s="19"/>
      <c r="E126" s="19"/>
    </row>
    <row r="127" spans="1:13" ht="15.7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7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7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7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7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7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7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7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7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7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7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7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7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7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A7:M7"/>
    <mergeCell ref="F10:F12"/>
    <mergeCell ref="G10:G12"/>
    <mergeCell ref="H10:I10"/>
    <mergeCell ref="J10:J12"/>
    <mergeCell ref="M9:M12"/>
    <mergeCell ref="D10:E10"/>
    <mergeCell ref="C9:E9"/>
    <mergeCell ref="A9:A12"/>
    <mergeCell ref="B9:B12"/>
    <mergeCell ref="B124:C124"/>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2014-09-25T15:14:07Z</cp:lastPrinted>
  <dcterms:created xsi:type="dcterms:W3CDTF">2002-12-20T15:22:07Z</dcterms:created>
  <dcterms:modified xsi:type="dcterms:W3CDTF">2014-09-25T15:14:08Z</dcterms:modified>
  <cp:category/>
  <cp:version/>
  <cp:contentType/>
  <cp:contentStatus/>
</cp:coreProperties>
</file>