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'Лист1'!$A$1:$AE$129</definedName>
  </definedNames>
  <calcPr fullCalcOnLoad="1"/>
</workbook>
</file>

<file path=xl/sharedStrings.xml><?xml version="1.0" encoding="utf-8"?>
<sst xmlns="http://schemas.openxmlformats.org/spreadsheetml/2006/main" count="308" uniqueCount="216">
  <si>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</si>
  <si>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</si>
  <si>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</si>
  <si>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</si>
  <si>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</si>
  <si>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</si>
  <si>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</si>
  <si>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</si>
  <si>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</si>
  <si>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</si>
  <si>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</si>
  <si>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</si>
  <si>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</si>
  <si>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</si>
  <si>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</si>
  <si>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</si>
  <si>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</si>
  <si>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</si>
  <si>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</si>
  <si>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</si>
  <si>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</si>
  <si>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</si>
  <si>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</si>
  <si>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</si>
  <si>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</si>
  <si>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</si>
  <si>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</si>
  <si>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</si>
  <si>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</si>
  <si>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</si>
  <si>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</si>
  <si>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</si>
  <si>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</si>
  <si>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</si>
  <si>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</si>
  <si>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</si>
  <si>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</si>
  <si>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</si>
  <si>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</si>
  <si>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</si>
  <si>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</si>
  <si>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</si>
  <si>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</si>
  <si>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</si>
  <si>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</si>
  <si>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</si>
  <si>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</si>
  <si>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</si>
  <si>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</si>
  <si>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</si>
  <si>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</si>
  <si>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</si>
  <si>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</si>
  <si>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</si>
  <si>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</si>
  <si>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</si>
  <si>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</si>
  <si>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</si>
  <si>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</si>
  <si>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</si>
  <si>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</si>
  <si>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</si>
  <si>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</si>
  <si>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</si>
  <si>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</si>
  <si>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</si>
  <si>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</si>
  <si>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</si>
  <si>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</si>
  <si>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</si>
  <si>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</si>
  <si>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</si>
  <si>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</si>
  <si>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</si>
  <si>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</si>
  <si>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</si>
  <si>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</si>
  <si>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</si>
  <si>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</si>
  <si>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</si>
  <si>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</si>
  <si>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</si>
  <si>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</si>
  <si>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</si>
  <si>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</si>
  <si>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</si>
  <si>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</si>
  <si>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</si>
  <si>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</si>
  <si>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</si>
  <si>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</si>
  <si>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</si>
  <si>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</si>
  <si>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</si>
  <si>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</si>
  <si>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</si>
  <si>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</si>
  <si>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</si>
  <si>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</si>
  <si>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</si>
  <si>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</si>
  <si>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</si>
  <si>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</si>
  <si>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</si>
  <si>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</si>
  <si>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</si>
  <si>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</si>
  <si>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</si>
  <si>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</si>
  <si>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</si>
  <si>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</si>
  <si>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</si>
  <si>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</si>
  <si>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</si>
  <si>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</si>
  <si>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</si>
  <si>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</si>
  <si>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</si>
  <si>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</si>
  <si>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</si>
  <si>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</si>
  <si>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</si>
  <si>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</si>
  <si>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</si>
  <si>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</si>
  <si>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</si>
  <si>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</si>
  <si>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</si>
  <si>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</si>
  <si>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</si>
  <si>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</si>
  <si>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</si>
  <si>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</si>
  <si>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</si>
  <si>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</si>
  <si>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</si>
  <si>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</si>
  <si>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</si>
  <si>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</si>
  <si>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</si>
  <si>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</si>
  <si>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</si>
  <si>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</si>
  <si>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</si>
  <si>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</si>
  <si>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</si>
  <si>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</si>
  <si>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</si>
  <si>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</si>
  <si>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</si>
  <si>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</si>
  <si>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</si>
  <si>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</si>
  <si>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</si>
  <si>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</si>
  <si>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</si>
  <si>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</si>
  <si>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</si>
  <si>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</si>
  <si>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</si>
  <si>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</si>
  <si>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</si>
  <si>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</si>
  <si>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</si>
  <si>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</si>
  <si>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</si>
  <si>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</si>
  <si>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</si>
  <si>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</si>
  <si>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</si>
  <si>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</si>
  <si>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</si>
  <si>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</si>
  <si>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</si>
  <si>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</si>
  <si>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</si>
  <si>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</si>
  <si>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</si>
  <si>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</si>
  <si>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</si>
  <si>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</si>
  <si>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</si>
  <si>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</si>
  <si>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</si>
  <si>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</si>
  <si>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</si>
  <si>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</si>
  <si>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</si>
  <si>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</si>
  <si>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</si>
  <si>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</si>
  <si>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</si>
  <si>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</si>
  <si>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</si>
  <si>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</si>
  <si>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</si>
  <si>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</si>
  <si>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за рахунок залишку коштів медичної субвенції</t>
  </si>
  <si>
    <t>за рахунок залишку коштів освітньої субвенції</t>
  </si>
  <si>
    <t>в тому числі за рахунок освітньої субвенції, всього</t>
  </si>
  <si>
    <t>з них за рахунок залишку коштів освітньої субвенції станом на 01.01.2016</t>
  </si>
  <si>
    <t>в тому числі за рахунок медичної субвенції, всього</t>
  </si>
  <si>
    <t>з них за рахунок залишку коштів медичної субвенції станом на 01.01.2016</t>
  </si>
  <si>
    <t>за рахунок залишку субвенцій з державного бюджету станом на 01.01.2016 всього, в т.ч.:</t>
  </si>
  <si>
    <t>170703</t>
  </si>
  <si>
    <t>0456</t>
  </si>
  <si>
    <t>Видатки на проведення робіт, пов"язаних з будівництвом, реконструкцією, ремонтом та утриманням автомобільних доріг</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</si>
  <si>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</si>
  <si>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</si>
  <si>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придбання Інгульського дошкільного навчального закладу «Ромашка» </t>
  </si>
  <si>
    <t>150110</t>
  </si>
  <si>
    <t>Проведення невідкладних відновлювальних робіт, будівництво та реконструкція загальноосвітніх навчальних закладів</t>
  </si>
  <si>
    <t>150101</t>
  </si>
  <si>
    <t>Капітальні вкладення</t>
  </si>
  <si>
    <t>Додаток 2</t>
  </si>
  <si>
    <t>від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</si>
</sst>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23" borderId="1" applyNumberFormat="0" applyAlignment="0" applyProtection="0"/>
    <xf numFmtId="0" fontId="44" fillId="24" borderId="2" applyNumberFormat="0" applyAlignment="0" applyProtection="0"/>
    <xf numFmtId="0" fontId="45"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2"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6" fillId="0" borderId="6" applyNumberFormat="0" applyFill="0" applyAlignment="0" applyProtection="0"/>
    <xf numFmtId="0" fontId="47" fillId="25" borderId="7" applyNumberFormat="0" applyAlignment="0" applyProtection="0"/>
    <xf numFmtId="0" fontId="20" fillId="0" borderId="0" applyNumberFormat="0" applyFill="0" applyBorder="0" applyAlignment="0" applyProtection="0"/>
    <xf numFmtId="0" fontId="48" fillId="26" borderId="0" applyNumberFormat="0" applyBorder="0" applyAlignment="0" applyProtection="0"/>
    <xf numFmtId="0" fontId="4" fillId="0" borderId="0" applyNumberForma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9" borderId="0" applyNumberFormat="0" applyBorder="0" applyAlignment="0" applyProtection="0"/>
  </cellStyleXfs>
  <cellXfs count="180">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30" borderId="0" xfId="0" applyFont="1" applyFill="1" applyAlignment="1">
      <alignment/>
    </xf>
    <xf numFmtId="200" fontId="6" fillId="0" borderId="0" xfId="0" applyNumberFormat="1" applyFont="1" applyAlignment="1">
      <alignment horizontal="right" wrapText="1"/>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26" fillId="0" borderId="0" xfId="0" applyFont="1" applyAlignment="1">
      <alignment horizontal="left" vertical="top" wrapText="1"/>
    </xf>
    <xf numFmtId="190" fontId="13" fillId="0" borderId="0" xfId="0" applyNumberFormat="1" applyFont="1" applyBorder="1" applyAlignment="1">
      <alignment horizontal="right" vertical="top" wrapText="1"/>
    </xf>
    <xf numFmtId="190" fontId="26" fillId="0" borderId="0" xfId="0" applyNumberFormat="1" applyFont="1" applyAlignment="1">
      <alignment horizontal="right" vertical="top" wrapText="1"/>
    </xf>
    <xf numFmtId="0" fontId="26" fillId="0" borderId="0" xfId="0" applyFont="1" applyAlignment="1">
      <alignment vertical="top" wrapText="1"/>
    </xf>
    <xf numFmtId="190" fontId="15" fillId="0" borderId="0" xfId="0" applyNumberFormat="1" applyFont="1" applyAlignment="1">
      <alignment horizontal="right" vertical="top" wrapText="1"/>
    </xf>
    <xf numFmtId="0" fontId="13" fillId="0" borderId="0" xfId="0" applyFont="1" applyAlignment="1">
      <alignment vertical="top" wrapText="1"/>
    </xf>
    <xf numFmtId="0" fontId="15" fillId="0" borderId="0" xfId="0" applyFont="1" applyAlignment="1">
      <alignment horizontal="left" vertical="top" wrapText="1"/>
    </xf>
    <xf numFmtId="190" fontId="15" fillId="0" borderId="0" xfId="0" applyNumberFormat="1" applyFont="1" applyAlignment="1">
      <alignment vertical="top"/>
    </xf>
    <xf numFmtId="0" fontId="15" fillId="0" borderId="0" xfId="0" applyFont="1" applyAlignment="1">
      <alignment horizontal="left" wrapText="1"/>
    </xf>
    <xf numFmtId="200" fontId="13" fillId="0" borderId="0" xfId="0" applyNumberFormat="1" applyFont="1" applyAlignment="1">
      <alignment vertical="top"/>
    </xf>
    <xf numFmtId="200" fontId="6" fillId="0" borderId="0" xfId="0" applyNumberFormat="1" applyFont="1" applyFill="1" applyAlignment="1">
      <alignment/>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21" fillId="0" borderId="22"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8"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0" fontId="1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21"/>
  <sheetViews>
    <sheetView tabSelected="1" view="pageBreakPreview" zoomScale="55" zoomScaleNormal="60" zoomScaleSheetLayoutView="55" zoomScalePageLayoutView="45" workbookViewId="0" topLeftCell="T1">
      <pane ySplit="3960" topLeftCell="A1" activePane="bottomLeft" state="split"/>
      <selection pane="topLeft" activeCell="AC3" sqref="AC3"/>
      <selection pane="bottomLeft" activeCell="Y5" sqref="Y5"/>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8.2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214</v>
      </c>
      <c r="AD1" s="21"/>
      <c r="AE1" s="18"/>
    </row>
    <row r="2" spans="29:31" ht="18.75">
      <c r="AC2" s="18" t="s">
        <v>161</v>
      </c>
      <c r="AD2" s="18"/>
      <c r="AE2" s="18"/>
    </row>
    <row r="3" spans="4:31" ht="18.75">
      <c r="D3" s="20"/>
      <c r="E3" s="20"/>
      <c r="F3" s="20"/>
      <c r="G3" s="20"/>
      <c r="H3" s="20"/>
      <c r="I3" s="20"/>
      <c r="J3" s="20"/>
      <c r="K3" s="20"/>
      <c r="L3" s="20"/>
      <c r="M3" s="20"/>
      <c r="N3" s="20"/>
      <c r="O3" s="20"/>
      <c r="P3" s="20"/>
      <c r="Q3" s="20"/>
      <c r="R3" s="20"/>
      <c r="S3" s="20"/>
      <c r="AC3" s="18" t="s">
        <v>215</v>
      </c>
      <c r="AD3" s="18"/>
      <c r="AE3" s="18"/>
    </row>
    <row r="4" spans="1:46" ht="54.75" customHeight="1">
      <c r="A4" s="51"/>
      <c r="B4" s="172" t="s">
        <v>186</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68" t="s">
        <v>55</v>
      </c>
      <c r="B6" s="168" t="s">
        <v>47</v>
      </c>
      <c r="C6" s="168" t="s">
        <v>48</v>
      </c>
      <c r="D6" s="168" t="s">
        <v>162</v>
      </c>
      <c r="E6" s="153" t="s">
        <v>41</v>
      </c>
      <c r="F6" s="154"/>
      <c r="G6" s="154"/>
      <c r="H6" s="154"/>
      <c r="I6" s="162"/>
      <c r="J6" s="153" t="s">
        <v>45</v>
      </c>
      <c r="K6" s="154"/>
      <c r="L6" s="154"/>
      <c r="M6" s="154"/>
      <c r="N6" s="154"/>
      <c r="O6" s="153" t="s">
        <v>46</v>
      </c>
      <c r="P6" s="154"/>
      <c r="Q6" s="154"/>
      <c r="R6" s="154"/>
      <c r="S6" s="162"/>
      <c r="T6" s="153" t="s">
        <v>159</v>
      </c>
      <c r="U6" s="154"/>
      <c r="V6" s="154"/>
      <c r="W6" s="154"/>
      <c r="X6" s="162"/>
      <c r="Y6" s="153" t="s">
        <v>160</v>
      </c>
      <c r="Z6" s="154"/>
      <c r="AA6" s="154"/>
      <c r="AB6" s="154"/>
      <c r="AC6" s="154"/>
      <c r="AD6" s="154"/>
      <c r="AE6" s="149" t="s">
        <v>39</v>
      </c>
    </row>
    <row r="7" spans="1:31" ht="18.75" customHeight="1" thickBot="1">
      <c r="A7" s="169"/>
      <c r="B7" s="169"/>
      <c r="C7" s="169"/>
      <c r="D7" s="169"/>
      <c r="E7" s="155" t="s">
        <v>0</v>
      </c>
      <c r="F7" s="159" t="s">
        <v>50</v>
      </c>
      <c r="G7" s="166" t="s">
        <v>49</v>
      </c>
      <c r="H7" s="167"/>
      <c r="I7" s="163" t="s">
        <v>51</v>
      </c>
      <c r="J7" s="155" t="s">
        <v>0</v>
      </c>
      <c r="K7" s="175" t="s">
        <v>50</v>
      </c>
      <c r="L7" s="166" t="s">
        <v>49</v>
      </c>
      <c r="M7" s="167"/>
      <c r="N7" s="163" t="s">
        <v>51</v>
      </c>
      <c r="O7" s="155" t="s">
        <v>0</v>
      </c>
      <c r="P7" s="175" t="s">
        <v>50</v>
      </c>
      <c r="Q7" s="166" t="s">
        <v>49</v>
      </c>
      <c r="R7" s="167"/>
      <c r="S7" s="163" t="s">
        <v>51</v>
      </c>
      <c r="T7" s="155" t="s">
        <v>0</v>
      </c>
      <c r="U7" s="159" t="s">
        <v>50</v>
      </c>
      <c r="V7" s="166" t="s">
        <v>49</v>
      </c>
      <c r="W7" s="167"/>
      <c r="X7" s="163" t="s">
        <v>51</v>
      </c>
      <c r="Y7" s="173" t="s">
        <v>0</v>
      </c>
      <c r="Z7" s="175" t="s">
        <v>50</v>
      </c>
      <c r="AA7" s="166" t="s">
        <v>49</v>
      </c>
      <c r="AB7" s="177"/>
      <c r="AC7" s="175" t="s">
        <v>51</v>
      </c>
      <c r="AD7" s="78" t="s">
        <v>49</v>
      </c>
      <c r="AE7" s="150"/>
    </row>
    <row r="8" spans="1:31" ht="14.25" customHeight="1">
      <c r="A8" s="169"/>
      <c r="B8" s="169"/>
      <c r="C8" s="169"/>
      <c r="D8" s="169"/>
      <c r="E8" s="171"/>
      <c r="F8" s="160"/>
      <c r="G8" s="155" t="s">
        <v>1</v>
      </c>
      <c r="H8" s="155" t="s">
        <v>2</v>
      </c>
      <c r="I8" s="164"/>
      <c r="J8" s="171"/>
      <c r="K8" s="164"/>
      <c r="L8" s="157" t="s">
        <v>1</v>
      </c>
      <c r="M8" s="155" t="s">
        <v>2</v>
      </c>
      <c r="N8" s="164"/>
      <c r="O8" s="171"/>
      <c r="P8" s="164"/>
      <c r="Q8" s="157" t="s">
        <v>1</v>
      </c>
      <c r="R8" s="155" t="s">
        <v>2</v>
      </c>
      <c r="S8" s="164"/>
      <c r="T8" s="171"/>
      <c r="U8" s="160"/>
      <c r="V8" s="155" t="s">
        <v>1</v>
      </c>
      <c r="W8" s="155" t="s">
        <v>2</v>
      </c>
      <c r="X8" s="164"/>
      <c r="Y8" s="171"/>
      <c r="Z8" s="164"/>
      <c r="AA8" s="155" t="s">
        <v>1</v>
      </c>
      <c r="AB8" s="157" t="s">
        <v>2</v>
      </c>
      <c r="AC8" s="164"/>
      <c r="AD8" s="155" t="s">
        <v>28</v>
      </c>
      <c r="AE8" s="151"/>
    </row>
    <row r="9" spans="1:31" ht="112.5" customHeight="1" thickBot="1">
      <c r="A9" s="170"/>
      <c r="B9" s="170"/>
      <c r="C9" s="170"/>
      <c r="D9" s="170"/>
      <c r="E9" s="156"/>
      <c r="F9" s="161"/>
      <c r="G9" s="156"/>
      <c r="H9" s="156"/>
      <c r="I9" s="165"/>
      <c r="J9" s="156"/>
      <c r="K9" s="176"/>
      <c r="L9" s="158"/>
      <c r="M9" s="156"/>
      <c r="N9" s="165"/>
      <c r="O9" s="156"/>
      <c r="P9" s="176"/>
      <c r="Q9" s="158"/>
      <c r="R9" s="156"/>
      <c r="S9" s="165"/>
      <c r="T9" s="156"/>
      <c r="U9" s="161"/>
      <c r="V9" s="156"/>
      <c r="W9" s="156"/>
      <c r="X9" s="165"/>
      <c r="Y9" s="174"/>
      <c r="Z9" s="176"/>
      <c r="AA9" s="156"/>
      <c r="AB9" s="158"/>
      <c r="AC9" s="176"/>
      <c r="AD9" s="156"/>
      <c r="AE9" s="152"/>
    </row>
    <row r="10" spans="1:31" ht="17.25" customHeight="1" thickBot="1">
      <c r="A10" s="79">
        <v>1</v>
      </c>
      <c r="B10" s="79">
        <v>2</v>
      </c>
      <c r="C10" s="80">
        <v>3</v>
      </c>
      <c r="D10" s="79">
        <v>4</v>
      </c>
      <c r="E10" s="81"/>
      <c r="F10" s="81"/>
      <c r="G10" s="81"/>
      <c r="H10" s="81"/>
      <c r="I10" s="81"/>
      <c r="J10" s="81"/>
      <c r="K10" s="81"/>
      <c r="L10" s="81"/>
      <c r="M10" s="81"/>
      <c r="N10" s="81"/>
      <c r="O10" s="81"/>
      <c r="P10" s="81"/>
      <c r="Q10" s="81"/>
      <c r="R10" s="81"/>
      <c r="S10" s="81"/>
      <c r="T10" s="82">
        <v>5</v>
      </c>
      <c r="U10" s="82">
        <v>6</v>
      </c>
      <c r="V10" s="82">
        <v>7</v>
      </c>
      <c r="W10" s="82">
        <v>8</v>
      </c>
      <c r="X10" s="82">
        <v>9</v>
      </c>
      <c r="Y10" s="83">
        <v>10</v>
      </c>
      <c r="Z10" s="83">
        <v>11</v>
      </c>
      <c r="AA10" s="83">
        <v>12</v>
      </c>
      <c r="AB10" s="83">
        <v>13</v>
      </c>
      <c r="AC10" s="84">
        <v>14</v>
      </c>
      <c r="AD10" s="79">
        <v>15</v>
      </c>
      <c r="AE10" s="85" t="s">
        <v>54</v>
      </c>
    </row>
    <row r="11" spans="1:31" ht="21" customHeight="1">
      <c r="A11" s="86"/>
      <c r="B11" s="87"/>
      <c r="C11" s="87"/>
      <c r="D11" s="70" t="s">
        <v>69</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88"/>
      <c r="B12" s="89" t="s">
        <v>29</v>
      </c>
      <c r="C12" s="89" t="s">
        <v>53</v>
      </c>
      <c r="D12" s="90" t="s">
        <v>13</v>
      </c>
      <c r="E12" s="53">
        <f>F12+I12</f>
        <v>6244</v>
      </c>
      <c r="F12" s="53">
        <v>6244</v>
      </c>
      <c r="G12" s="53">
        <v>2432</v>
      </c>
      <c r="H12" s="53">
        <v>464.5</v>
      </c>
      <c r="I12" s="53"/>
      <c r="J12" s="90"/>
      <c r="K12" s="90"/>
      <c r="L12" s="90"/>
      <c r="M12" s="90"/>
      <c r="N12" s="90"/>
      <c r="O12" s="90"/>
      <c r="P12" s="90"/>
      <c r="Q12" s="90"/>
      <c r="R12" s="90"/>
      <c r="S12" s="90"/>
      <c r="T12" s="53">
        <f>U12+X12</f>
        <v>1034.7</v>
      </c>
      <c r="U12" s="53">
        <f>999.7+25+10</f>
        <v>1034.7</v>
      </c>
      <c r="V12" s="53">
        <v>669.3</v>
      </c>
      <c r="W12" s="53">
        <v>109</v>
      </c>
      <c r="X12" s="53">
        <f>I12+N12+S12</f>
        <v>0</v>
      </c>
      <c r="Y12" s="54">
        <f>Z12+AC12</f>
        <v>1.26</v>
      </c>
      <c r="Z12" s="54">
        <v>1.26</v>
      </c>
      <c r="AA12" s="54"/>
      <c r="AB12" s="54"/>
      <c r="AC12" s="55"/>
      <c r="AD12" s="55">
        <f>100+42.6-100-42.6</f>
        <v>0</v>
      </c>
      <c r="AE12" s="55">
        <f>T12+Y12</f>
        <v>1035.96</v>
      </c>
      <c r="AF12" s="17"/>
    </row>
    <row r="13" spans="1:32" ht="19.5" customHeight="1" hidden="1">
      <c r="A13" s="88"/>
      <c r="B13" s="89" t="s">
        <v>36</v>
      </c>
      <c r="C13" s="89"/>
      <c r="D13" s="90" t="s">
        <v>9</v>
      </c>
      <c r="E13" s="53"/>
      <c r="F13" s="53"/>
      <c r="G13" s="53"/>
      <c r="H13" s="53"/>
      <c r="I13" s="53"/>
      <c r="J13" s="90"/>
      <c r="K13" s="90"/>
      <c r="L13" s="90"/>
      <c r="M13" s="90"/>
      <c r="N13" s="90"/>
      <c r="O13" s="90"/>
      <c r="P13" s="90"/>
      <c r="Q13" s="90"/>
      <c r="R13" s="90"/>
      <c r="S13" s="90"/>
      <c r="T13" s="53">
        <f>E13+J13+O13</f>
        <v>0</v>
      </c>
      <c r="U13" s="53"/>
      <c r="V13" s="53">
        <f aca="true" t="shared" si="0" ref="V13:W16">G13+L13+Q13</f>
        <v>0</v>
      </c>
      <c r="W13" s="53">
        <f t="shared" si="0"/>
        <v>0</v>
      </c>
      <c r="X13" s="53"/>
      <c r="Y13" s="54"/>
      <c r="Z13" s="54"/>
      <c r="AA13" s="54"/>
      <c r="AB13" s="54"/>
      <c r="AC13" s="55"/>
      <c r="AD13" s="55"/>
      <c r="AE13" s="55">
        <f>T13+Y13</f>
        <v>0</v>
      </c>
      <c r="AF13" s="17"/>
    </row>
    <row r="14" spans="1:32" ht="19.5" customHeight="1">
      <c r="A14" s="88"/>
      <c r="B14" s="89" t="s">
        <v>187</v>
      </c>
      <c r="C14" s="89" t="s">
        <v>188</v>
      </c>
      <c r="D14" s="90" t="s">
        <v>189</v>
      </c>
      <c r="E14" s="49"/>
      <c r="F14" s="49"/>
      <c r="G14" s="49"/>
      <c r="H14" s="49"/>
      <c r="I14" s="49"/>
      <c r="J14" s="50"/>
      <c r="K14" s="50"/>
      <c r="L14" s="50"/>
      <c r="M14" s="50"/>
      <c r="N14" s="50"/>
      <c r="O14" s="50"/>
      <c r="P14" s="50"/>
      <c r="Q14" s="50"/>
      <c r="R14" s="50"/>
      <c r="S14" s="50"/>
      <c r="T14" s="53">
        <f>U14</f>
        <v>37</v>
      </c>
      <c r="U14" s="53">
        <f>15+22</f>
        <v>37</v>
      </c>
      <c r="V14" s="53"/>
      <c r="W14" s="53"/>
      <c r="X14" s="53"/>
      <c r="Y14" s="54"/>
      <c r="Z14" s="54"/>
      <c r="AA14" s="54"/>
      <c r="AB14" s="54"/>
      <c r="AC14" s="55"/>
      <c r="AD14" s="55"/>
      <c r="AE14" s="55">
        <f>T14+Y14</f>
        <v>37</v>
      </c>
      <c r="AF14" s="17"/>
    </row>
    <row r="15" spans="1:35" ht="20.25" customHeight="1">
      <c r="A15" s="88"/>
      <c r="B15" s="91"/>
      <c r="C15" s="91"/>
      <c r="D15" s="70" t="s">
        <v>27</v>
      </c>
      <c r="E15" s="92" t="e">
        <f>E12+#REF!+E13</f>
        <v>#REF!</v>
      </c>
      <c r="F15" s="92" t="e">
        <f>F12+#REF!+F13</f>
        <v>#REF!</v>
      </c>
      <c r="G15" s="92" t="e">
        <f>G12+#REF!+G13</f>
        <v>#REF!</v>
      </c>
      <c r="H15" s="92" t="e">
        <f>H12+#REF!+H13</f>
        <v>#REF!</v>
      </c>
      <c r="I15" s="92" t="e">
        <f>I12+#REF!+I13</f>
        <v>#REF!</v>
      </c>
      <c r="J15" s="70" t="e">
        <f>J12+#REF!+J13</f>
        <v>#REF!</v>
      </c>
      <c r="K15" s="70"/>
      <c r="L15" s="70" t="e">
        <f>L12+#REF!+L13</f>
        <v>#REF!</v>
      </c>
      <c r="M15" s="70" t="e">
        <f>M12+#REF!+M13</f>
        <v>#REF!</v>
      </c>
      <c r="N15" s="70"/>
      <c r="O15" s="70" t="e">
        <f>O12+#REF!+O13</f>
        <v>#REF!</v>
      </c>
      <c r="P15" s="70"/>
      <c r="Q15" s="70" t="e">
        <f>Q12+#REF!+Q13</f>
        <v>#REF!</v>
      </c>
      <c r="R15" s="70" t="e">
        <f>R12+#REF!+R13</f>
        <v>#REF!</v>
      </c>
      <c r="S15" s="70"/>
      <c r="T15" s="56">
        <f>U15+X15</f>
        <v>1071.7</v>
      </c>
      <c r="U15" s="56">
        <f>U12+U14</f>
        <v>1071.7</v>
      </c>
      <c r="V15" s="56">
        <f aca="true" t="shared" si="1" ref="V15:AD15">V12</f>
        <v>669.3</v>
      </c>
      <c r="W15" s="56">
        <f t="shared" si="1"/>
        <v>109</v>
      </c>
      <c r="X15" s="56">
        <f t="shared" si="1"/>
        <v>0</v>
      </c>
      <c r="Y15" s="56">
        <f t="shared" si="1"/>
        <v>1.26</v>
      </c>
      <c r="Z15" s="56">
        <f t="shared" si="1"/>
        <v>1.26</v>
      </c>
      <c r="AA15" s="56">
        <f t="shared" si="1"/>
        <v>0</v>
      </c>
      <c r="AB15" s="56">
        <f t="shared" si="1"/>
        <v>0</v>
      </c>
      <c r="AC15" s="56">
        <f t="shared" si="1"/>
        <v>0</v>
      </c>
      <c r="AD15" s="56">
        <f t="shared" si="1"/>
        <v>0</v>
      </c>
      <c r="AE15" s="57">
        <f>T15+Y15</f>
        <v>1072.96</v>
      </c>
      <c r="AF15" s="19"/>
      <c r="AG15" s="7"/>
      <c r="AH15" s="7"/>
      <c r="AI15" s="7"/>
    </row>
    <row r="16" spans="1:32" s="3" customFormat="1" ht="32.25" customHeight="1">
      <c r="A16" s="86"/>
      <c r="B16" s="91"/>
      <c r="C16" s="91"/>
      <c r="D16" s="50" t="s">
        <v>70</v>
      </c>
      <c r="E16" s="49"/>
      <c r="F16" s="49"/>
      <c r="G16" s="49"/>
      <c r="H16" s="49"/>
      <c r="I16" s="49"/>
      <c r="J16" s="50"/>
      <c r="K16" s="50"/>
      <c r="L16" s="50"/>
      <c r="M16" s="50"/>
      <c r="N16" s="50"/>
      <c r="O16" s="50"/>
      <c r="P16" s="50"/>
      <c r="Q16" s="50"/>
      <c r="R16" s="50"/>
      <c r="S16" s="50"/>
      <c r="T16" s="53">
        <f>E16+J16+O16</f>
        <v>0</v>
      </c>
      <c r="U16" s="53"/>
      <c r="V16" s="53">
        <f t="shared" si="0"/>
        <v>0</v>
      </c>
      <c r="W16" s="53">
        <f t="shared" si="0"/>
        <v>0</v>
      </c>
      <c r="X16" s="53"/>
      <c r="Y16" s="54">
        <f>Z16+AC16</f>
        <v>0</v>
      </c>
      <c r="Z16" s="42"/>
      <c r="AA16" s="42"/>
      <c r="AB16" s="42"/>
      <c r="AC16" s="58"/>
      <c r="AD16" s="58"/>
      <c r="AE16" s="55">
        <f aca="true" t="shared" si="2" ref="AE16:AE30">T16+Y16</f>
        <v>0</v>
      </c>
      <c r="AF16" s="19"/>
    </row>
    <row r="17" spans="1:32" s="3" customFormat="1" ht="30" customHeight="1">
      <c r="A17" s="88"/>
      <c r="B17" s="89" t="s">
        <v>25</v>
      </c>
      <c r="C17" s="89" t="s">
        <v>67</v>
      </c>
      <c r="D17" s="77" t="s">
        <v>19</v>
      </c>
      <c r="E17" s="53">
        <v>1111</v>
      </c>
      <c r="F17" s="53">
        <v>1111</v>
      </c>
      <c r="G17" s="53">
        <v>701.2</v>
      </c>
      <c r="H17" s="53">
        <v>88.38</v>
      </c>
      <c r="I17" s="53"/>
      <c r="J17" s="77"/>
      <c r="K17" s="77"/>
      <c r="L17" s="77"/>
      <c r="M17" s="77"/>
      <c r="N17" s="77"/>
      <c r="O17" s="77"/>
      <c r="P17" s="77"/>
      <c r="Q17" s="77"/>
      <c r="R17" s="77"/>
      <c r="S17" s="77"/>
      <c r="T17" s="53">
        <f aca="true" t="shared" si="3" ref="T17:T31">U17+X17</f>
        <v>53.2</v>
      </c>
      <c r="U17" s="53">
        <v>53.2</v>
      </c>
      <c r="V17" s="53"/>
      <c r="W17" s="53"/>
      <c r="X17" s="53"/>
      <c r="Y17" s="54"/>
      <c r="Z17" s="54"/>
      <c r="AA17" s="54"/>
      <c r="AB17" s="54"/>
      <c r="AC17" s="55"/>
      <c r="AD17" s="55"/>
      <c r="AE17" s="55">
        <f t="shared" si="2"/>
        <v>53.2</v>
      </c>
      <c r="AF17" s="19"/>
    </row>
    <row r="18" spans="1:32" s="3" customFormat="1" ht="30" customHeight="1">
      <c r="A18" s="86"/>
      <c r="B18" s="93" t="s">
        <v>26</v>
      </c>
      <c r="C18" s="93"/>
      <c r="D18" s="75" t="s">
        <v>15</v>
      </c>
      <c r="E18" s="53"/>
      <c r="F18" s="53"/>
      <c r="G18" s="53"/>
      <c r="H18" s="53"/>
      <c r="I18" s="53"/>
      <c r="J18" s="77"/>
      <c r="K18" s="77"/>
      <c r="L18" s="77"/>
      <c r="M18" s="77"/>
      <c r="N18" s="77"/>
      <c r="O18" s="77"/>
      <c r="P18" s="77"/>
      <c r="Q18" s="77"/>
      <c r="R18" s="77"/>
      <c r="S18" s="77"/>
      <c r="T18" s="53">
        <f t="shared" si="3"/>
        <v>23892.543999999998</v>
      </c>
      <c r="U18" s="53">
        <f aca="true" t="shared" si="4" ref="U18:AC18">U22+U19</f>
        <v>23892.543999999998</v>
      </c>
      <c r="V18" s="53">
        <f t="shared" si="4"/>
        <v>14028</v>
      </c>
      <c r="W18" s="53">
        <f t="shared" si="4"/>
        <v>2915.5</v>
      </c>
      <c r="X18" s="53">
        <f t="shared" si="4"/>
        <v>0</v>
      </c>
      <c r="Y18" s="53">
        <f t="shared" si="4"/>
        <v>1349.268</v>
      </c>
      <c r="Z18" s="53">
        <f t="shared" si="4"/>
        <v>324.5</v>
      </c>
      <c r="AA18" s="53">
        <f t="shared" si="4"/>
        <v>145</v>
      </c>
      <c r="AB18" s="53">
        <f t="shared" si="4"/>
        <v>6</v>
      </c>
      <c r="AC18" s="53">
        <f t="shared" si="4"/>
        <v>1024.768</v>
      </c>
      <c r="AD18" s="53">
        <f>AD19+AD22</f>
        <v>1024.768</v>
      </c>
      <c r="AE18" s="53">
        <f>AE22</f>
        <v>7431.551</v>
      </c>
      <c r="AF18" s="19"/>
    </row>
    <row r="19" spans="1:32" s="3" customFormat="1" ht="30" customHeight="1">
      <c r="A19" s="86"/>
      <c r="B19" s="93" t="s">
        <v>183</v>
      </c>
      <c r="C19" s="93" t="s">
        <v>184</v>
      </c>
      <c r="D19" s="75" t="s">
        <v>185</v>
      </c>
      <c r="E19" s="53"/>
      <c r="F19" s="53"/>
      <c r="G19" s="53"/>
      <c r="H19" s="53"/>
      <c r="I19" s="53"/>
      <c r="J19" s="77"/>
      <c r="K19" s="77"/>
      <c r="L19" s="77"/>
      <c r="M19" s="77"/>
      <c r="N19" s="77"/>
      <c r="O19" s="77"/>
      <c r="P19" s="77"/>
      <c r="Q19" s="77"/>
      <c r="R19" s="77"/>
      <c r="S19" s="77"/>
      <c r="T19" s="53">
        <f t="shared" si="3"/>
        <v>16482.493</v>
      </c>
      <c r="U19" s="53">
        <f>15415.9+926.16+140.433</f>
        <v>16482.493</v>
      </c>
      <c r="V19" s="53">
        <v>9345.9</v>
      </c>
      <c r="W19" s="53">
        <v>2222.7</v>
      </c>
      <c r="X19" s="53"/>
      <c r="Y19" s="53">
        <f>Z19+AC19</f>
        <v>1327.768</v>
      </c>
      <c r="Z19" s="53">
        <v>320</v>
      </c>
      <c r="AA19" s="53">
        <v>145</v>
      </c>
      <c r="AB19" s="53">
        <v>6</v>
      </c>
      <c r="AC19" s="53">
        <f>847.451+160.317</f>
        <v>1007.768</v>
      </c>
      <c r="AD19" s="53">
        <f>847.451+160.317</f>
        <v>1007.768</v>
      </c>
      <c r="AE19" s="55">
        <f t="shared" si="2"/>
        <v>17810.261</v>
      </c>
      <c r="AF19" s="19"/>
    </row>
    <row r="20" spans="1:32" s="3" customFormat="1" ht="52.5" customHeight="1">
      <c r="A20" s="86"/>
      <c r="B20" s="93"/>
      <c r="C20" s="93"/>
      <c r="D20" s="138" t="s">
        <v>201</v>
      </c>
      <c r="E20" s="53"/>
      <c r="F20" s="53"/>
      <c r="G20" s="53"/>
      <c r="H20" s="53"/>
      <c r="I20" s="53"/>
      <c r="J20" s="77"/>
      <c r="K20" s="77"/>
      <c r="L20" s="77"/>
      <c r="M20" s="77"/>
      <c r="N20" s="77"/>
      <c r="O20" s="77"/>
      <c r="P20" s="77"/>
      <c r="Q20" s="77"/>
      <c r="R20" s="77"/>
      <c r="S20" s="77"/>
      <c r="T20" s="53">
        <f>U20+X20</f>
        <v>15890.99</v>
      </c>
      <c r="U20" s="53">
        <v>15890.99</v>
      </c>
      <c r="V20" s="53">
        <v>9345.9</v>
      </c>
      <c r="W20" s="53">
        <v>2222.7</v>
      </c>
      <c r="X20" s="53"/>
      <c r="Y20" s="53"/>
      <c r="Z20" s="53"/>
      <c r="AA20" s="53"/>
      <c r="AB20" s="53"/>
      <c r="AC20" s="53"/>
      <c r="AD20" s="53"/>
      <c r="AE20" s="55">
        <f t="shared" si="2"/>
        <v>15890.99</v>
      </c>
      <c r="AF20" s="19"/>
    </row>
    <row r="21" spans="1:32" s="3" customFormat="1" ht="51" customHeight="1">
      <c r="A21" s="86"/>
      <c r="B21" s="93"/>
      <c r="C21" s="93"/>
      <c r="D21" s="90" t="s">
        <v>202</v>
      </c>
      <c r="E21" s="53"/>
      <c r="F21" s="53"/>
      <c r="G21" s="53"/>
      <c r="H21" s="53"/>
      <c r="I21" s="53"/>
      <c r="J21" s="77"/>
      <c r="K21" s="77"/>
      <c r="L21" s="77"/>
      <c r="M21" s="77"/>
      <c r="N21" s="77"/>
      <c r="O21" s="77"/>
      <c r="P21" s="77"/>
      <c r="Q21" s="77"/>
      <c r="R21" s="77"/>
      <c r="S21" s="77"/>
      <c r="T21" s="53">
        <f t="shared" si="3"/>
        <v>475.09</v>
      </c>
      <c r="U21" s="53">
        <v>475.09</v>
      </c>
      <c r="V21" s="53"/>
      <c r="W21" s="53"/>
      <c r="X21" s="53"/>
      <c r="Y21" s="53"/>
      <c r="Z21" s="53"/>
      <c r="AA21" s="53"/>
      <c r="AB21" s="53"/>
      <c r="AC21" s="53"/>
      <c r="AD21" s="53"/>
      <c r="AE21" s="55">
        <f t="shared" si="2"/>
        <v>475.09</v>
      </c>
      <c r="AF21" s="19"/>
    </row>
    <row r="22" spans="1:32" s="3" customFormat="1" ht="45.75" customHeight="1">
      <c r="A22" s="88"/>
      <c r="B22" s="89" t="s">
        <v>71</v>
      </c>
      <c r="C22" s="89" t="s">
        <v>153</v>
      </c>
      <c r="D22" s="95" t="s">
        <v>72</v>
      </c>
      <c r="E22" s="53"/>
      <c r="F22" s="53"/>
      <c r="G22" s="53"/>
      <c r="H22" s="53"/>
      <c r="I22" s="53"/>
      <c r="J22" s="77"/>
      <c r="K22" s="77"/>
      <c r="L22" s="77"/>
      <c r="M22" s="77"/>
      <c r="N22" s="77"/>
      <c r="O22" s="77"/>
      <c r="P22" s="77"/>
      <c r="Q22" s="77"/>
      <c r="R22" s="77"/>
      <c r="S22" s="77"/>
      <c r="T22" s="53">
        <f t="shared" si="3"/>
        <v>7410.051</v>
      </c>
      <c r="U22" s="53">
        <f>6925.9+435.551+48.6</f>
        <v>7410.051</v>
      </c>
      <c r="V22" s="53">
        <v>4682.1</v>
      </c>
      <c r="W22" s="53">
        <v>692.8</v>
      </c>
      <c r="X22" s="53"/>
      <c r="Y22" s="54">
        <f>Z22+AC22</f>
        <v>21.5</v>
      </c>
      <c r="Z22" s="54">
        <v>4.5</v>
      </c>
      <c r="AA22" s="54"/>
      <c r="AB22" s="54"/>
      <c r="AC22" s="55">
        <v>17</v>
      </c>
      <c r="AD22" s="55">
        <v>17</v>
      </c>
      <c r="AE22" s="55">
        <f t="shared" si="2"/>
        <v>7431.551</v>
      </c>
      <c r="AF22" s="19"/>
    </row>
    <row r="23" spans="1:32" s="3" customFormat="1" ht="45.75" customHeight="1">
      <c r="A23" s="88"/>
      <c r="B23" s="89"/>
      <c r="C23" s="89"/>
      <c r="D23" s="138" t="s">
        <v>201</v>
      </c>
      <c r="E23" s="53"/>
      <c r="F23" s="53"/>
      <c r="G23" s="53"/>
      <c r="H23" s="53"/>
      <c r="I23" s="53"/>
      <c r="J23" s="77"/>
      <c r="K23" s="77"/>
      <c r="L23" s="77"/>
      <c r="M23" s="77"/>
      <c r="N23" s="77"/>
      <c r="O23" s="77"/>
      <c r="P23" s="77"/>
      <c r="Q23" s="77"/>
      <c r="R23" s="77"/>
      <c r="S23" s="77"/>
      <c r="T23" s="53">
        <f>U23+X23</f>
        <v>7259.658</v>
      </c>
      <c r="U23" s="53">
        <v>7259.658</v>
      </c>
      <c r="V23" s="53">
        <v>4682.1</v>
      </c>
      <c r="W23" s="53">
        <v>692.8</v>
      </c>
      <c r="X23" s="53"/>
      <c r="Y23" s="54"/>
      <c r="Z23" s="54"/>
      <c r="AA23" s="54"/>
      <c r="AB23" s="54"/>
      <c r="AC23" s="55"/>
      <c r="AD23" s="55"/>
      <c r="AE23" s="55">
        <f t="shared" si="2"/>
        <v>7259.658</v>
      </c>
      <c r="AF23" s="19"/>
    </row>
    <row r="24" spans="1:32" s="3" customFormat="1" ht="45.75" customHeight="1">
      <c r="A24" s="88"/>
      <c r="B24" s="89"/>
      <c r="C24" s="89"/>
      <c r="D24" s="90" t="s">
        <v>202</v>
      </c>
      <c r="E24" s="53"/>
      <c r="F24" s="53"/>
      <c r="G24" s="53"/>
      <c r="H24" s="53"/>
      <c r="I24" s="53"/>
      <c r="J24" s="77"/>
      <c r="K24" s="77"/>
      <c r="L24" s="77"/>
      <c r="M24" s="77"/>
      <c r="N24" s="77"/>
      <c r="O24" s="77"/>
      <c r="P24" s="77"/>
      <c r="Q24" s="77"/>
      <c r="R24" s="77"/>
      <c r="S24" s="77"/>
      <c r="T24" s="53">
        <f t="shared" si="3"/>
        <v>333.758</v>
      </c>
      <c r="U24" s="53">
        <v>333.758</v>
      </c>
      <c r="V24" s="53"/>
      <c r="W24" s="53"/>
      <c r="X24" s="53"/>
      <c r="Y24" s="54"/>
      <c r="Z24" s="54"/>
      <c r="AA24" s="54"/>
      <c r="AB24" s="54"/>
      <c r="AC24" s="55"/>
      <c r="AD24" s="55"/>
      <c r="AE24" s="55">
        <f t="shared" si="2"/>
        <v>333.758</v>
      </c>
      <c r="AF24" s="19"/>
    </row>
    <row r="25" spans="1:32" s="3" customFormat="1" ht="34.5" customHeight="1">
      <c r="A25" s="88"/>
      <c r="B25" s="89" t="s">
        <v>175</v>
      </c>
      <c r="C25" s="89" t="s">
        <v>60</v>
      </c>
      <c r="D25" s="95" t="s">
        <v>176</v>
      </c>
      <c r="E25" s="53"/>
      <c r="F25" s="53"/>
      <c r="G25" s="53"/>
      <c r="H25" s="53"/>
      <c r="I25" s="53"/>
      <c r="J25" s="77"/>
      <c r="K25" s="77"/>
      <c r="L25" s="77"/>
      <c r="M25" s="77"/>
      <c r="N25" s="77"/>
      <c r="O25" s="77"/>
      <c r="P25" s="77"/>
      <c r="Q25" s="77"/>
      <c r="R25" s="77"/>
      <c r="S25" s="77"/>
      <c r="T25" s="53">
        <f t="shared" si="3"/>
        <v>10</v>
      </c>
      <c r="U25" s="53">
        <v>10</v>
      </c>
      <c r="V25" s="53"/>
      <c r="W25" s="53"/>
      <c r="X25" s="53"/>
      <c r="Y25" s="54"/>
      <c r="Z25" s="53"/>
      <c r="AA25" s="53"/>
      <c r="AB25" s="53"/>
      <c r="AC25" s="53"/>
      <c r="AD25" s="53"/>
      <c r="AE25" s="55">
        <f>T25+Y25</f>
        <v>10</v>
      </c>
      <c r="AF25" s="19"/>
    </row>
    <row r="26" spans="1:32" s="3" customFormat="1" ht="24.75" customHeight="1">
      <c r="A26" s="88"/>
      <c r="B26" s="89" t="s">
        <v>212</v>
      </c>
      <c r="C26" s="89" t="s">
        <v>191</v>
      </c>
      <c r="D26" s="146" t="s">
        <v>213</v>
      </c>
      <c r="E26" s="53"/>
      <c r="F26" s="53"/>
      <c r="G26" s="53"/>
      <c r="H26" s="53"/>
      <c r="I26" s="53"/>
      <c r="J26" s="77"/>
      <c r="K26" s="77"/>
      <c r="L26" s="77"/>
      <c r="M26" s="77"/>
      <c r="N26" s="77"/>
      <c r="O26" s="77"/>
      <c r="P26" s="77"/>
      <c r="Q26" s="77"/>
      <c r="R26" s="77"/>
      <c r="S26" s="77"/>
      <c r="T26" s="53"/>
      <c r="U26" s="53"/>
      <c r="V26" s="53"/>
      <c r="W26" s="53"/>
      <c r="X26" s="53"/>
      <c r="Y26" s="147">
        <f>Z26+AC26</f>
        <v>1081.33464</v>
      </c>
      <c r="Z26" s="53"/>
      <c r="AA26" s="53"/>
      <c r="AB26" s="53"/>
      <c r="AC26" s="71">
        <v>1081.33464</v>
      </c>
      <c r="AD26" s="71">
        <v>1081.33464</v>
      </c>
      <c r="AE26" s="74">
        <f>T26+Y26</f>
        <v>1081.33464</v>
      </c>
      <c r="AF26" s="19"/>
    </row>
    <row r="27" spans="1:32" s="3" customFormat="1" ht="82.5" customHeight="1">
      <c r="A27" s="88"/>
      <c r="B27" s="89" t="s">
        <v>204</v>
      </c>
      <c r="C27" s="89" t="s">
        <v>205</v>
      </c>
      <c r="D27" s="95" t="s">
        <v>206</v>
      </c>
      <c r="E27" s="53"/>
      <c r="F27" s="53"/>
      <c r="G27" s="53"/>
      <c r="H27" s="53"/>
      <c r="I27" s="53"/>
      <c r="J27" s="77"/>
      <c r="K27" s="77"/>
      <c r="L27" s="77"/>
      <c r="M27" s="77"/>
      <c r="N27" s="77"/>
      <c r="O27" s="77"/>
      <c r="P27" s="77"/>
      <c r="Q27" s="77"/>
      <c r="R27" s="77"/>
      <c r="S27" s="77"/>
      <c r="T27" s="53">
        <f t="shared" si="3"/>
        <v>300</v>
      </c>
      <c r="U27" s="53">
        <v>300</v>
      </c>
      <c r="V27" s="53"/>
      <c r="W27" s="53"/>
      <c r="X27" s="53"/>
      <c r="Y27" s="54"/>
      <c r="Z27" s="53"/>
      <c r="AA27" s="53"/>
      <c r="AB27" s="53"/>
      <c r="AC27" s="53"/>
      <c r="AD27" s="53"/>
      <c r="AE27" s="55">
        <f>T27+Y27</f>
        <v>300</v>
      </c>
      <c r="AF27" s="19"/>
    </row>
    <row r="28" spans="1:32" s="3" customFormat="1" ht="60.75" customHeight="1">
      <c r="A28" s="88"/>
      <c r="B28" s="89" t="s">
        <v>190</v>
      </c>
      <c r="C28" s="89" t="s">
        <v>191</v>
      </c>
      <c r="D28" s="95" t="s">
        <v>192</v>
      </c>
      <c r="E28" s="53"/>
      <c r="F28" s="53"/>
      <c r="G28" s="53"/>
      <c r="H28" s="53"/>
      <c r="I28" s="53"/>
      <c r="J28" s="77"/>
      <c r="K28" s="77"/>
      <c r="L28" s="77"/>
      <c r="M28" s="77"/>
      <c r="N28" s="77"/>
      <c r="O28" s="77"/>
      <c r="P28" s="77"/>
      <c r="Q28" s="77"/>
      <c r="R28" s="77"/>
      <c r="S28" s="77"/>
      <c r="T28" s="53">
        <f t="shared" si="3"/>
        <v>1.378</v>
      </c>
      <c r="U28" s="53">
        <v>1.378</v>
      </c>
      <c r="V28" s="53"/>
      <c r="W28" s="53"/>
      <c r="X28" s="53"/>
      <c r="Y28" s="54"/>
      <c r="Z28" s="53"/>
      <c r="AA28" s="53"/>
      <c r="AB28" s="53"/>
      <c r="AC28" s="53"/>
      <c r="AD28" s="53"/>
      <c r="AE28" s="55">
        <f>T28+Y28</f>
        <v>1.378</v>
      </c>
      <c r="AF28" s="19"/>
    </row>
    <row r="29" spans="1:32" s="3" customFormat="1" ht="48" customHeight="1">
      <c r="A29" s="88"/>
      <c r="B29" s="89" t="s">
        <v>172</v>
      </c>
      <c r="C29" s="89" t="s">
        <v>173</v>
      </c>
      <c r="D29" s="134" t="s">
        <v>174</v>
      </c>
      <c r="E29" s="53"/>
      <c r="F29" s="53"/>
      <c r="G29" s="53"/>
      <c r="H29" s="53"/>
      <c r="I29" s="53"/>
      <c r="J29" s="77"/>
      <c r="K29" s="77"/>
      <c r="L29" s="77"/>
      <c r="M29" s="77"/>
      <c r="N29" s="77"/>
      <c r="O29" s="77"/>
      <c r="P29" s="77"/>
      <c r="Q29" s="77"/>
      <c r="R29" s="77"/>
      <c r="S29" s="77"/>
      <c r="T29" s="53">
        <f t="shared" si="3"/>
        <v>132</v>
      </c>
      <c r="U29" s="53">
        <f>32+100</f>
        <v>132</v>
      </c>
      <c r="V29" s="53"/>
      <c r="W29" s="53"/>
      <c r="X29" s="53"/>
      <c r="Y29" s="54"/>
      <c r="Z29" s="53"/>
      <c r="AA29" s="53"/>
      <c r="AB29" s="53"/>
      <c r="AC29" s="53"/>
      <c r="AD29" s="53"/>
      <c r="AE29" s="55">
        <f>T29+Y29</f>
        <v>132</v>
      </c>
      <c r="AF29" s="19"/>
    </row>
    <row r="30" spans="1:32" s="3" customFormat="1" ht="56.25" customHeight="1">
      <c r="A30" s="88"/>
      <c r="B30" s="96" t="s">
        <v>37</v>
      </c>
      <c r="C30" s="97" t="s">
        <v>52</v>
      </c>
      <c r="D30" s="95" t="s">
        <v>73</v>
      </c>
      <c r="E30" s="53"/>
      <c r="F30" s="53"/>
      <c r="G30" s="53"/>
      <c r="H30" s="53"/>
      <c r="I30" s="53"/>
      <c r="J30" s="77"/>
      <c r="K30" s="77"/>
      <c r="L30" s="77"/>
      <c r="M30" s="77"/>
      <c r="N30" s="77"/>
      <c r="O30" s="77"/>
      <c r="P30" s="77"/>
      <c r="Q30" s="77"/>
      <c r="R30" s="77"/>
      <c r="S30" s="77"/>
      <c r="T30" s="53">
        <f t="shared" si="3"/>
        <v>234</v>
      </c>
      <c r="U30" s="53">
        <v>234</v>
      </c>
      <c r="V30" s="53"/>
      <c r="W30" s="53"/>
      <c r="X30" s="53"/>
      <c r="Y30" s="54"/>
      <c r="Z30" s="54"/>
      <c r="AA30" s="54"/>
      <c r="AB30" s="54"/>
      <c r="AC30" s="55"/>
      <c r="AD30" s="55"/>
      <c r="AE30" s="74">
        <f t="shared" si="2"/>
        <v>234</v>
      </c>
      <c r="AF30" s="19"/>
    </row>
    <row r="31" spans="1:33" s="3" customFormat="1" ht="36.75" customHeight="1">
      <c r="A31" s="88"/>
      <c r="B31" s="91"/>
      <c r="C31" s="91"/>
      <c r="D31" s="70" t="s">
        <v>27</v>
      </c>
      <c r="E31" s="70" t="e">
        <f>E17+#REF!+E22</f>
        <v>#REF!</v>
      </c>
      <c r="F31" s="70" t="e">
        <f>F17+#REF!+F22</f>
        <v>#REF!</v>
      </c>
      <c r="G31" s="70" t="e">
        <f>G17+#REF!+G22</f>
        <v>#REF!</v>
      </c>
      <c r="H31" s="70" t="e">
        <f>H17+#REF!+H22</f>
        <v>#REF!</v>
      </c>
      <c r="I31" s="70" t="e">
        <f>I17+#REF!+I22</f>
        <v>#REF!</v>
      </c>
      <c r="J31" s="70" t="e">
        <f>J17+#REF!+J22</f>
        <v>#REF!</v>
      </c>
      <c r="K31" s="70"/>
      <c r="L31" s="70" t="e">
        <f>L17+#REF!</f>
        <v>#REF!</v>
      </c>
      <c r="M31" s="70" t="e">
        <f>M17+#REF!</f>
        <v>#REF!</v>
      </c>
      <c r="N31" s="70"/>
      <c r="O31" s="70" t="e">
        <f>O17+#REF!</f>
        <v>#REF!</v>
      </c>
      <c r="P31" s="70"/>
      <c r="Q31" s="70" t="e">
        <f>Q17+#REF!</f>
        <v>#REF!</v>
      </c>
      <c r="R31" s="70" t="e">
        <f>R17+#REF!</f>
        <v>#REF!</v>
      </c>
      <c r="S31" s="70"/>
      <c r="T31" s="49">
        <f t="shared" si="3"/>
        <v>24623.122</v>
      </c>
      <c r="U31" s="49">
        <f>U17+U18+U30+U29+U25+U28+U27</f>
        <v>24623.122</v>
      </c>
      <c r="V31" s="49">
        <f>V17+V18+V30</f>
        <v>14028</v>
      </c>
      <c r="W31" s="49">
        <f>W17+W18+W30</f>
        <v>2915.5</v>
      </c>
      <c r="X31" s="130">
        <f>X17+X18+X30</f>
        <v>0</v>
      </c>
      <c r="Y31" s="130">
        <f>Z31+AC31</f>
        <v>2430.60264</v>
      </c>
      <c r="Z31" s="49">
        <f>Z18+Z30+Z17</f>
        <v>324.5</v>
      </c>
      <c r="AA31" s="49">
        <f>AA17+AA18+AA30</f>
        <v>145</v>
      </c>
      <c r="AB31" s="49">
        <f>AB17+AB18+AB30</f>
        <v>6</v>
      </c>
      <c r="AC31" s="130">
        <f>AC17+AC18+AC30+AC26</f>
        <v>2106.10264</v>
      </c>
      <c r="AD31" s="130">
        <f>AD17+AD18+AD30+AD26</f>
        <v>2106.10264</v>
      </c>
      <c r="AE31" s="148">
        <f>T31+Y31</f>
        <v>27053.72464</v>
      </c>
      <c r="AF31" s="19"/>
      <c r="AG31" s="8"/>
    </row>
    <row r="32" spans="1:32" ht="43.5" customHeight="1">
      <c r="A32" s="98"/>
      <c r="B32" s="99"/>
      <c r="C32" s="100"/>
      <c r="D32" s="101" t="s">
        <v>165</v>
      </c>
      <c r="E32" s="56"/>
      <c r="F32" s="56"/>
      <c r="G32" s="56"/>
      <c r="H32" s="56"/>
      <c r="I32" s="56"/>
      <c r="J32" s="102"/>
      <c r="K32" s="102"/>
      <c r="L32" s="102"/>
      <c r="M32" s="102"/>
      <c r="N32" s="102"/>
      <c r="O32" s="102"/>
      <c r="P32" s="102"/>
      <c r="Q32" s="102"/>
      <c r="R32" s="102"/>
      <c r="S32" s="102"/>
      <c r="T32" s="53">
        <f>E32+J32+O32</f>
        <v>0</v>
      </c>
      <c r="U32" s="53"/>
      <c r="V32" s="53">
        <f>G32+L32+Q32</f>
        <v>0</v>
      </c>
      <c r="W32" s="53">
        <f>H32+M32+R32</f>
        <v>0</v>
      </c>
      <c r="X32" s="53"/>
      <c r="Y32" s="54">
        <f>Z32+AC32</f>
        <v>0</v>
      </c>
      <c r="Z32" s="42"/>
      <c r="AA32" s="42"/>
      <c r="AB32" s="42"/>
      <c r="AC32" s="58"/>
      <c r="AD32" s="58"/>
      <c r="AE32" s="55"/>
      <c r="AF32" s="17"/>
    </row>
    <row r="33" spans="1:32" ht="21.75" customHeight="1">
      <c r="A33" s="98"/>
      <c r="B33" s="103" t="s">
        <v>22</v>
      </c>
      <c r="C33" s="103"/>
      <c r="D33" s="70" t="s">
        <v>5</v>
      </c>
      <c r="E33" s="104" t="e">
        <f>E34+#REF!+#REF!+E55+E56+E58+#REF!+E59+#REF!+E62</f>
        <v>#REF!</v>
      </c>
      <c r="F33" s="104" t="e">
        <f>F34+#REF!+#REF!+F55+F56+F58+#REF!+F59+#REF!+F62</f>
        <v>#REF!</v>
      </c>
      <c r="G33" s="104" t="e">
        <f>G34+#REF!+#REF!+G55+G56+G58+#REF!+G59+#REF!+G62</f>
        <v>#REF!</v>
      </c>
      <c r="H33" s="104" t="e">
        <f>H34+#REF!+#REF!+H55+H56+H58+#REF!+H59+#REF!+H62</f>
        <v>#REF!</v>
      </c>
      <c r="I33" s="104" t="e">
        <f>I34+#REF!+#REF!+I55+I56+I58+#REF!+I59+#REF!+I62</f>
        <v>#REF!</v>
      </c>
      <c r="J33" s="75"/>
      <c r="K33" s="75"/>
      <c r="L33" s="75" t="e">
        <f>L34+#REF!+#REF!+L55+L56+L58+#REF!+L59+#REF!+L62</f>
        <v>#REF!</v>
      </c>
      <c r="M33" s="75" t="e">
        <f>M34+#REF!+#REF!+M55+M56+M58+#REF!+M59+#REF!+M62</f>
        <v>#REF!</v>
      </c>
      <c r="N33" s="75"/>
      <c r="O33" s="75" t="e">
        <f>O34+#REF!+#REF!+O55+O56+O58+#REF!+O59+#REF!+O62</f>
        <v>#REF!</v>
      </c>
      <c r="P33" s="75"/>
      <c r="Q33" s="75" t="e">
        <f>Q34+#REF!+#REF!+Q55+Q56+Q58+#REF!+Q59+#REF!+Q62</f>
        <v>#REF!</v>
      </c>
      <c r="R33" s="75" t="e">
        <f>R34+#REF!+#REF!+R55+R56+R58+#REF!+R59+#REF!+R62</f>
        <v>#REF!</v>
      </c>
      <c r="S33" s="75"/>
      <c r="T33" s="53">
        <f aca="true" t="shared" si="5" ref="T33:T41">U33+X33</f>
        <v>53357.33</v>
      </c>
      <c r="U33" s="53">
        <f aca="true" t="shared" si="6" ref="U33:AE33">U34+U37+U38+U39+U40</f>
        <v>53357.33</v>
      </c>
      <c r="V33" s="53">
        <f t="shared" si="6"/>
        <v>32645.2</v>
      </c>
      <c r="W33" s="53">
        <f t="shared" si="6"/>
        <v>9036.300000000001</v>
      </c>
      <c r="X33" s="53">
        <f t="shared" si="6"/>
        <v>0</v>
      </c>
      <c r="Y33" s="53">
        <f t="shared" si="6"/>
        <v>354.39000000000004</v>
      </c>
      <c r="Z33" s="53">
        <f t="shared" si="6"/>
        <v>7.8</v>
      </c>
      <c r="AA33" s="53">
        <f t="shared" si="6"/>
        <v>0</v>
      </c>
      <c r="AB33" s="53">
        <f t="shared" si="6"/>
        <v>0</v>
      </c>
      <c r="AC33" s="53">
        <f t="shared" si="6"/>
        <v>346.59000000000003</v>
      </c>
      <c r="AD33" s="53">
        <f t="shared" si="6"/>
        <v>346.59000000000003</v>
      </c>
      <c r="AE33" s="53">
        <f t="shared" si="6"/>
        <v>53711.72</v>
      </c>
      <c r="AF33" s="19"/>
    </row>
    <row r="34" spans="1:32" ht="65.25" customHeight="1">
      <c r="A34" s="88"/>
      <c r="B34" s="89" t="s">
        <v>75</v>
      </c>
      <c r="C34" s="89" t="s">
        <v>56</v>
      </c>
      <c r="D34" s="95" t="s">
        <v>74</v>
      </c>
      <c r="E34" s="53">
        <f>F34</f>
        <v>135300.76</v>
      </c>
      <c r="F34" s="53">
        <v>135300.76</v>
      </c>
      <c r="G34" s="53">
        <v>50963.83</v>
      </c>
      <c r="H34" s="53">
        <v>17413.7</v>
      </c>
      <c r="I34" s="53"/>
      <c r="J34" s="77"/>
      <c r="K34" s="77"/>
      <c r="L34" s="77"/>
      <c r="M34" s="77"/>
      <c r="N34" s="77"/>
      <c r="O34" s="77"/>
      <c r="P34" s="77"/>
      <c r="Q34" s="77"/>
      <c r="R34" s="77"/>
      <c r="S34" s="77"/>
      <c r="T34" s="53">
        <f t="shared" si="5"/>
        <v>48350.240000000005</v>
      </c>
      <c r="U34" s="53">
        <f>44855.4+699.5+2134.49-91.59+762.44-10</f>
        <v>48350.240000000005</v>
      </c>
      <c r="V34" s="53">
        <f>30016.4+128</f>
        <v>30144.4</v>
      </c>
      <c r="W34" s="53">
        <f>7747.5+759</f>
        <v>8506.5</v>
      </c>
      <c r="X34" s="53"/>
      <c r="Y34" s="53">
        <f>Z34+AC34</f>
        <v>354.39000000000004</v>
      </c>
      <c r="Z34" s="54">
        <v>7.8</v>
      </c>
      <c r="AA34" s="55"/>
      <c r="AB34" s="55"/>
      <c r="AC34" s="55">
        <f>208+91.59+37+10</f>
        <v>346.59000000000003</v>
      </c>
      <c r="AD34" s="55">
        <f>208+91.59+37+10</f>
        <v>346.59000000000003</v>
      </c>
      <c r="AE34" s="55">
        <f>T34+Y34</f>
        <v>48704.630000000005</v>
      </c>
      <c r="AF34" s="17"/>
    </row>
    <row r="35" spans="1:32" ht="48" customHeight="1">
      <c r="A35" s="88"/>
      <c r="B35" s="89"/>
      <c r="C35" s="89"/>
      <c r="D35" s="138" t="s">
        <v>199</v>
      </c>
      <c r="E35" s="53"/>
      <c r="F35" s="53"/>
      <c r="G35" s="53"/>
      <c r="H35" s="53"/>
      <c r="I35" s="53"/>
      <c r="J35" s="77"/>
      <c r="K35" s="77"/>
      <c r="L35" s="77"/>
      <c r="M35" s="77"/>
      <c r="N35" s="77"/>
      <c r="O35" s="77"/>
      <c r="P35" s="77"/>
      <c r="Q35" s="77"/>
      <c r="R35" s="77"/>
      <c r="S35" s="77"/>
      <c r="T35" s="53">
        <v>46502.7</v>
      </c>
      <c r="U35" s="53">
        <f>46502.7+247.44-10</f>
        <v>46740.14</v>
      </c>
      <c r="V35" s="53">
        <v>30016.4</v>
      </c>
      <c r="W35" s="53">
        <v>8506.5</v>
      </c>
      <c r="X35" s="53"/>
      <c r="Y35" s="53">
        <f>AC35+Z35</f>
        <v>255</v>
      </c>
      <c r="Z35" s="54"/>
      <c r="AA35" s="55"/>
      <c r="AB35" s="55"/>
      <c r="AC35" s="55">
        <f>AC36</f>
        <v>255</v>
      </c>
      <c r="AD35" s="55">
        <f>AD36</f>
        <v>255</v>
      </c>
      <c r="AE35" s="55">
        <f>T35+Y35</f>
        <v>46757.7</v>
      </c>
      <c r="AF35" s="17"/>
    </row>
    <row r="36" spans="1:32" ht="50.25" customHeight="1">
      <c r="A36" s="88"/>
      <c r="B36" s="89"/>
      <c r="C36" s="89"/>
      <c r="D36" s="90" t="s">
        <v>200</v>
      </c>
      <c r="E36" s="53"/>
      <c r="F36" s="53"/>
      <c r="G36" s="53"/>
      <c r="H36" s="53"/>
      <c r="I36" s="53"/>
      <c r="J36" s="77"/>
      <c r="K36" s="77"/>
      <c r="L36" s="77"/>
      <c r="M36" s="77"/>
      <c r="N36" s="77"/>
      <c r="O36" s="77"/>
      <c r="P36" s="77"/>
      <c r="Q36" s="77"/>
      <c r="R36" s="77"/>
      <c r="S36" s="77"/>
      <c r="T36" s="53">
        <f>U36</f>
        <v>1185.24</v>
      </c>
      <c r="U36" s="53">
        <f>947.8+247.44-10</f>
        <v>1185.24</v>
      </c>
      <c r="V36" s="53"/>
      <c r="W36" s="53">
        <v>759</v>
      </c>
      <c r="X36" s="53"/>
      <c r="Y36" s="53">
        <f>AC36</f>
        <v>255</v>
      </c>
      <c r="Z36" s="54"/>
      <c r="AA36" s="55"/>
      <c r="AB36" s="55"/>
      <c r="AC36" s="55">
        <f>208+37+10</f>
        <v>255</v>
      </c>
      <c r="AD36" s="55">
        <f>208+37+10</f>
        <v>255</v>
      </c>
      <c r="AE36" s="55">
        <f>T36+Y36</f>
        <v>1440.24</v>
      </c>
      <c r="AF36" s="17"/>
    </row>
    <row r="37" spans="1:32" ht="57" customHeight="1">
      <c r="A37" s="88"/>
      <c r="B37" s="100" t="s">
        <v>23</v>
      </c>
      <c r="C37" s="89" t="s">
        <v>68</v>
      </c>
      <c r="D37" s="95" t="s">
        <v>76</v>
      </c>
      <c r="E37" s="53">
        <f>F37</f>
        <v>0</v>
      </c>
      <c r="F37" s="53"/>
      <c r="G37" s="53"/>
      <c r="H37" s="53"/>
      <c r="I37" s="53"/>
      <c r="J37" s="77"/>
      <c r="K37" s="77"/>
      <c r="L37" s="77"/>
      <c r="M37" s="77"/>
      <c r="N37" s="77"/>
      <c r="O37" s="77"/>
      <c r="P37" s="77"/>
      <c r="Q37" s="77"/>
      <c r="R37" s="77"/>
      <c r="S37" s="77"/>
      <c r="T37" s="53">
        <f t="shared" si="5"/>
        <v>1514.4999999999998</v>
      </c>
      <c r="U37" s="53">
        <f>1455.3+19.6+39.6</f>
        <v>1514.4999999999998</v>
      </c>
      <c r="V37" s="53">
        <v>982.3</v>
      </c>
      <c r="W37" s="53">
        <v>213.1</v>
      </c>
      <c r="X37" s="53"/>
      <c r="Y37" s="54">
        <f>Z37+AC37</f>
        <v>0</v>
      </c>
      <c r="Z37" s="54"/>
      <c r="AA37" s="55"/>
      <c r="AB37" s="55"/>
      <c r="AC37" s="55"/>
      <c r="AD37" s="55"/>
      <c r="AE37" s="55">
        <f aca="true" t="shared" si="7" ref="AE37:AE55">T37+Y37</f>
        <v>1514.4999999999998</v>
      </c>
      <c r="AF37" s="17"/>
    </row>
    <row r="38" spans="1:32" ht="27" customHeight="1">
      <c r="A38" s="88"/>
      <c r="B38" s="89" t="s">
        <v>24</v>
      </c>
      <c r="C38" s="89" t="s">
        <v>67</v>
      </c>
      <c r="D38" s="105" t="s">
        <v>77</v>
      </c>
      <c r="E38" s="53"/>
      <c r="F38" s="53"/>
      <c r="G38" s="53"/>
      <c r="H38" s="53"/>
      <c r="I38" s="53"/>
      <c r="J38" s="77"/>
      <c r="K38" s="77"/>
      <c r="L38" s="77"/>
      <c r="M38" s="77"/>
      <c r="N38" s="77"/>
      <c r="O38" s="77"/>
      <c r="P38" s="77"/>
      <c r="Q38" s="77"/>
      <c r="R38" s="77"/>
      <c r="S38" s="77"/>
      <c r="T38" s="53">
        <f t="shared" si="5"/>
        <v>2333.9</v>
      </c>
      <c r="U38" s="53">
        <f>2239.3+29.6+65</f>
        <v>2333.9</v>
      </c>
      <c r="V38" s="53">
        <f>1480.8+37.7</f>
        <v>1518.5</v>
      </c>
      <c r="W38" s="53">
        <v>316.7</v>
      </c>
      <c r="X38" s="53"/>
      <c r="Y38" s="54"/>
      <c r="Z38" s="54"/>
      <c r="AA38" s="55"/>
      <c r="AB38" s="55"/>
      <c r="AC38" s="55"/>
      <c r="AD38" s="55"/>
      <c r="AE38" s="55">
        <f t="shared" si="7"/>
        <v>2333.9</v>
      </c>
      <c r="AF38" s="17"/>
    </row>
    <row r="39" spans="1:32" ht="33" customHeight="1">
      <c r="A39" s="88"/>
      <c r="B39" s="89" t="s">
        <v>25</v>
      </c>
      <c r="C39" s="89" t="s">
        <v>67</v>
      </c>
      <c r="D39" s="77" t="s">
        <v>19</v>
      </c>
      <c r="E39" s="53"/>
      <c r="F39" s="53"/>
      <c r="G39" s="53"/>
      <c r="H39" s="53"/>
      <c r="I39" s="53"/>
      <c r="J39" s="77"/>
      <c r="K39" s="77"/>
      <c r="L39" s="77"/>
      <c r="M39" s="77"/>
      <c r="N39" s="77"/>
      <c r="O39" s="77"/>
      <c r="P39" s="77"/>
      <c r="Q39" s="77"/>
      <c r="R39" s="77"/>
      <c r="S39" s="77"/>
      <c r="T39" s="53">
        <f t="shared" si="5"/>
        <v>1133.3500000000001</v>
      </c>
      <c r="U39" s="53">
        <f>1065.2-5.8+5.7-40-25-166.75+115+185</f>
        <v>1133.3500000000001</v>
      </c>
      <c r="V39" s="53"/>
      <c r="W39" s="53"/>
      <c r="X39" s="53"/>
      <c r="Y39" s="54"/>
      <c r="Z39" s="54"/>
      <c r="AA39" s="55"/>
      <c r="AB39" s="55"/>
      <c r="AC39" s="55"/>
      <c r="AD39" s="55"/>
      <c r="AE39" s="55">
        <f t="shared" si="7"/>
        <v>1133.3500000000001</v>
      </c>
      <c r="AF39" s="17"/>
    </row>
    <row r="40" spans="1:32" ht="78" customHeight="1">
      <c r="A40" s="88"/>
      <c r="B40" s="89" t="s">
        <v>78</v>
      </c>
      <c r="C40" s="89" t="s">
        <v>67</v>
      </c>
      <c r="D40" s="95" t="s">
        <v>79</v>
      </c>
      <c r="E40" s="53"/>
      <c r="F40" s="53"/>
      <c r="G40" s="53"/>
      <c r="H40" s="53"/>
      <c r="I40" s="53"/>
      <c r="J40" s="77"/>
      <c r="K40" s="77"/>
      <c r="L40" s="77"/>
      <c r="M40" s="77"/>
      <c r="N40" s="77"/>
      <c r="O40" s="77"/>
      <c r="P40" s="77"/>
      <c r="Q40" s="77"/>
      <c r="R40" s="77"/>
      <c r="S40" s="77"/>
      <c r="T40" s="53">
        <f t="shared" si="5"/>
        <v>25.34</v>
      </c>
      <c r="U40" s="53">
        <v>25.34</v>
      </c>
      <c r="V40" s="53"/>
      <c r="W40" s="53"/>
      <c r="X40" s="53"/>
      <c r="Y40" s="54"/>
      <c r="Z40" s="54"/>
      <c r="AA40" s="55"/>
      <c r="AB40" s="55"/>
      <c r="AC40" s="55"/>
      <c r="AD40" s="55"/>
      <c r="AE40" s="55">
        <f t="shared" si="7"/>
        <v>25.34</v>
      </c>
      <c r="AF40" s="17"/>
    </row>
    <row r="41" spans="1:32" ht="50.25" customHeight="1">
      <c r="A41" s="88"/>
      <c r="B41" s="133" t="s">
        <v>193</v>
      </c>
      <c r="C41" s="133" t="s">
        <v>60</v>
      </c>
      <c r="D41" s="75" t="s">
        <v>194</v>
      </c>
      <c r="E41" s="53"/>
      <c r="F41" s="53"/>
      <c r="G41" s="53"/>
      <c r="H41" s="53"/>
      <c r="I41" s="53"/>
      <c r="J41" s="77"/>
      <c r="K41" s="77"/>
      <c r="L41" s="77"/>
      <c r="M41" s="77"/>
      <c r="N41" s="77"/>
      <c r="O41" s="77"/>
      <c r="P41" s="77"/>
      <c r="Q41" s="77"/>
      <c r="R41" s="77"/>
      <c r="S41" s="77"/>
      <c r="T41" s="53">
        <f t="shared" si="5"/>
        <v>15</v>
      </c>
      <c r="U41" s="53">
        <v>15</v>
      </c>
      <c r="V41" s="53"/>
      <c r="W41" s="53"/>
      <c r="X41" s="53"/>
      <c r="Y41" s="54"/>
      <c r="Z41" s="54"/>
      <c r="AA41" s="55"/>
      <c r="AB41" s="55"/>
      <c r="AC41" s="55"/>
      <c r="AD41" s="55"/>
      <c r="AE41" s="55">
        <f t="shared" si="7"/>
        <v>15</v>
      </c>
      <c r="AF41" s="17"/>
    </row>
    <row r="42" spans="1:32" ht="28.5" customHeight="1">
      <c r="A42" s="98"/>
      <c r="B42" s="99" t="s">
        <v>81</v>
      </c>
      <c r="C42" s="89"/>
      <c r="D42" s="106" t="s">
        <v>80</v>
      </c>
      <c r="E42" s="53"/>
      <c r="F42" s="53"/>
      <c r="G42" s="53"/>
      <c r="H42" s="53"/>
      <c r="I42" s="53"/>
      <c r="J42" s="77"/>
      <c r="K42" s="77"/>
      <c r="L42" s="77"/>
      <c r="M42" s="77"/>
      <c r="N42" s="77"/>
      <c r="O42" s="77"/>
      <c r="P42" s="77"/>
      <c r="Q42" s="77"/>
      <c r="R42" s="77"/>
      <c r="S42" s="77"/>
      <c r="T42" s="53">
        <f>T43+T44+T45+T46</f>
        <v>1057.38</v>
      </c>
      <c r="U42" s="53">
        <f>U43+U44+U45+U46</f>
        <v>1057.38</v>
      </c>
      <c r="V42" s="53">
        <f aca="true" t="shared" si="8" ref="V42:AD42">V43+V44+V45+V46</f>
        <v>607.9</v>
      </c>
      <c r="W42" s="53">
        <f t="shared" si="8"/>
        <v>145.3</v>
      </c>
      <c r="X42" s="53">
        <f t="shared" si="8"/>
        <v>0</v>
      </c>
      <c r="Y42" s="53">
        <f t="shared" si="8"/>
        <v>0</v>
      </c>
      <c r="Z42" s="53">
        <f t="shared" si="8"/>
        <v>0</v>
      </c>
      <c r="AA42" s="53">
        <f t="shared" si="8"/>
        <v>0</v>
      </c>
      <c r="AB42" s="53">
        <f t="shared" si="8"/>
        <v>0</v>
      </c>
      <c r="AC42" s="53">
        <f t="shared" si="8"/>
        <v>0</v>
      </c>
      <c r="AD42" s="53">
        <f t="shared" si="8"/>
        <v>0</v>
      </c>
      <c r="AE42" s="55">
        <f t="shared" si="7"/>
        <v>1057.38</v>
      </c>
      <c r="AF42" s="17"/>
    </row>
    <row r="43" spans="1:32" ht="50.25" customHeight="1">
      <c r="A43" s="88"/>
      <c r="B43" s="89" t="s">
        <v>10</v>
      </c>
      <c r="C43" s="89" t="s">
        <v>64</v>
      </c>
      <c r="D43" s="95" t="s">
        <v>14</v>
      </c>
      <c r="E43" s="53"/>
      <c r="F43" s="53"/>
      <c r="G43" s="53"/>
      <c r="H43" s="53"/>
      <c r="I43" s="53"/>
      <c r="J43" s="77"/>
      <c r="K43" s="77"/>
      <c r="L43" s="77"/>
      <c r="M43" s="77"/>
      <c r="N43" s="77"/>
      <c r="O43" s="77"/>
      <c r="P43" s="77"/>
      <c r="Q43" s="77"/>
      <c r="R43" s="77"/>
      <c r="S43" s="77"/>
      <c r="T43" s="53">
        <f aca="true" t="shared" si="9" ref="T43:T54">U43+X43</f>
        <v>897.4</v>
      </c>
      <c r="U43" s="53">
        <f>885.3+12.1</f>
        <v>897.4</v>
      </c>
      <c r="V43" s="53">
        <v>607.9</v>
      </c>
      <c r="W43" s="53">
        <v>145.3</v>
      </c>
      <c r="X43" s="53"/>
      <c r="Y43" s="54"/>
      <c r="Z43" s="54"/>
      <c r="AA43" s="55"/>
      <c r="AB43" s="55"/>
      <c r="AC43" s="55"/>
      <c r="AD43" s="55"/>
      <c r="AE43" s="55">
        <f t="shared" si="7"/>
        <v>897.4</v>
      </c>
      <c r="AF43" s="17"/>
    </row>
    <row r="44" spans="1:32" ht="46.5" customHeight="1">
      <c r="A44" s="88"/>
      <c r="B44" s="89" t="s">
        <v>40</v>
      </c>
      <c r="C44" s="89" t="s">
        <v>64</v>
      </c>
      <c r="D44" s="95" t="s">
        <v>83</v>
      </c>
      <c r="E44" s="53"/>
      <c r="F44" s="53"/>
      <c r="G44" s="53"/>
      <c r="H44" s="53"/>
      <c r="I44" s="53"/>
      <c r="J44" s="77"/>
      <c r="K44" s="77"/>
      <c r="L44" s="77"/>
      <c r="M44" s="77"/>
      <c r="N44" s="77"/>
      <c r="O44" s="77"/>
      <c r="P44" s="77"/>
      <c r="Q44" s="77"/>
      <c r="R44" s="77"/>
      <c r="S44" s="77"/>
      <c r="T44" s="53">
        <f t="shared" si="9"/>
        <v>32.46</v>
      </c>
      <c r="U44" s="53">
        <f>20+12.46</f>
        <v>32.46</v>
      </c>
      <c r="V44" s="53"/>
      <c r="W44" s="53"/>
      <c r="X44" s="53"/>
      <c r="Y44" s="54"/>
      <c r="Z44" s="54"/>
      <c r="AA44" s="55"/>
      <c r="AB44" s="55"/>
      <c r="AC44" s="55"/>
      <c r="AD44" s="55"/>
      <c r="AE44" s="55">
        <f t="shared" si="7"/>
        <v>32.46</v>
      </c>
      <c r="AF44" s="17"/>
    </row>
    <row r="45" spans="1:32" ht="89.25" customHeight="1">
      <c r="A45" s="88"/>
      <c r="B45" s="89" t="s">
        <v>82</v>
      </c>
      <c r="C45" s="89" t="s">
        <v>64</v>
      </c>
      <c r="D45" s="95" t="s">
        <v>84</v>
      </c>
      <c r="E45" s="53"/>
      <c r="F45" s="53"/>
      <c r="G45" s="53"/>
      <c r="H45" s="53"/>
      <c r="I45" s="53"/>
      <c r="J45" s="77"/>
      <c r="K45" s="77"/>
      <c r="L45" s="77"/>
      <c r="M45" s="77"/>
      <c r="N45" s="77"/>
      <c r="O45" s="77"/>
      <c r="P45" s="77"/>
      <c r="Q45" s="77"/>
      <c r="R45" s="77"/>
      <c r="S45" s="77"/>
      <c r="T45" s="53">
        <f t="shared" si="9"/>
        <v>20</v>
      </c>
      <c r="U45" s="53">
        <v>20</v>
      </c>
      <c r="V45" s="53"/>
      <c r="W45" s="53"/>
      <c r="X45" s="53"/>
      <c r="Y45" s="54"/>
      <c r="Z45" s="54"/>
      <c r="AA45" s="55"/>
      <c r="AB45" s="55"/>
      <c r="AC45" s="55"/>
      <c r="AD45" s="55"/>
      <c r="AE45" s="55">
        <f t="shared" si="7"/>
        <v>20</v>
      </c>
      <c r="AF45" s="17"/>
    </row>
    <row r="46" spans="1:32" ht="52.5" customHeight="1">
      <c r="A46" s="88"/>
      <c r="B46" s="89" t="s">
        <v>11</v>
      </c>
      <c r="C46" s="89" t="s">
        <v>64</v>
      </c>
      <c r="D46" s="95" t="s">
        <v>101</v>
      </c>
      <c r="E46" s="53"/>
      <c r="F46" s="53"/>
      <c r="G46" s="53"/>
      <c r="H46" s="53"/>
      <c r="I46" s="53"/>
      <c r="J46" s="77"/>
      <c r="K46" s="77"/>
      <c r="L46" s="77"/>
      <c r="M46" s="77"/>
      <c r="N46" s="77"/>
      <c r="O46" s="77"/>
      <c r="P46" s="77"/>
      <c r="Q46" s="77"/>
      <c r="R46" s="77"/>
      <c r="S46" s="77"/>
      <c r="T46" s="53">
        <f>U46</f>
        <v>107.52</v>
      </c>
      <c r="U46" s="53">
        <f>105.72+1.8</f>
        <v>107.52</v>
      </c>
      <c r="V46" s="53"/>
      <c r="W46" s="53"/>
      <c r="X46"/>
      <c r="Y46" s="54"/>
      <c r="Z46" s="54"/>
      <c r="AA46" s="55"/>
      <c r="AB46" s="55"/>
      <c r="AC46" s="55"/>
      <c r="AD46" s="55"/>
      <c r="AE46" s="55">
        <f t="shared" si="7"/>
        <v>107.52</v>
      </c>
      <c r="AF46" s="17"/>
    </row>
    <row r="47" spans="1:32" ht="85.5" customHeight="1">
      <c r="A47" s="88"/>
      <c r="B47" s="89" t="s">
        <v>210</v>
      </c>
      <c r="C47" s="89" t="s">
        <v>56</v>
      </c>
      <c r="D47" s="144" t="s">
        <v>211</v>
      </c>
      <c r="E47" s="140"/>
      <c r="F47" s="140"/>
      <c r="G47" s="140"/>
      <c r="H47" s="140"/>
      <c r="I47" s="140"/>
      <c r="J47" s="141"/>
      <c r="K47" s="141"/>
      <c r="L47" s="141"/>
      <c r="M47" s="141"/>
      <c r="N47" s="141"/>
      <c r="O47" s="141"/>
      <c r="P47" s="141"/>
      <c r="Q47" s="141"/>
      <c r="R47" s="141"/>
      <c r="S47" s="142">
        <f>T47+W47</f>
        <v>0</v>
      </c>
      <c r="T47" s="142"/>
      <c r="U47" s="142"/>
      <c r="V47" s="142"/>
      <c r="W47" s="142"/>
      <c r="X47" s="145"/>
      <c r="Y47" s="142">
        <f>AC47</f>
        <v>59.075</v>
      </c>
      <c r="Z47" s="140"/>
      <c r="AA47" s="140"/>
      <c r="AC47" s="142">
        <f>AD47</f>
        <v>59.075</v>
      </c>
      <c r="AD47" s="142">
        <f>39.075+20</f>
        <v>59.075</v>
      </c>
      <c r="AE47" s="55">
        <f t="shared" si="7"/>
        <v>59.075</v>
      </c>
      <c r="AF47" s="17"/>
    </row>
    <row r="48" spans="1:32" ht="44.25" customHeight="1">
      <c r="A48" s="88"/>
      <c r="B48" s="89"/>
      <c r="C48" s="89"/>
      <c r="D48" s="90" t="s">
        <v>200</v>
      </c>
      <c r="E48" s="140"/>
      <c r="F48" s="140"/>
      <c r="G48" s="140"/>
      <c r="H48" s="140"/>
      <c r="I48" s="140"/>
      <c r="J48" s="141"/>
      <c r="K48" s="141"/>
      <c r="L48" s="141"/>
      <c r="M48" s="141"/>
      <c r="N48" s="141"/>
      <c r="O48" s="141"/>
      <c r="P48" s="141"/>
      <c r="Q48" s="141"/>
      <c r="R48" s="141"/>
      <c r="S48" s="142"/>
      <c r="T48" s="142"/>
      <c r="U48" s="142"/>
      <c r="V48" s="142"/>
      <c r="W48" s="142"/>
      <c r="X48" s="145"/>
      <c r="Y48" s="142">
        <f>AC48</f>
        <v>59.075</v>
      </c>
      <c r="Z48" s="140"/>
      <c r="AA48" s="140"/>
      <c r="AC48" s="142">
        <v>59.075</v>
      </c>
      <c r="AD48" s="142">
        <v>59.075</v>
      </c>
      <c r="AE48" s="55">
        <f t="shared" si="7"/>
        <v>59.075</v>
      </c>
      <c r="AF48" s="17"/>
    </row>
    <row r="49" spans="1:32" ht="52.5" customHeight="1">
      <c r="A49" s="88"/>
      <c r="B49" s="133" t="s">
        <v>167</v>
      </c>
      <c r="C49" s="133" t="s">
        <v>168</v>
      </c>
      <c r="D49" s="95" t="s">
        <v>171</v>
      </c>
      <c r="E49" s="53"/>
      <c r="F49" s="53"/>
      <c r="G49" s="53"/>
      <c r="H49" s="53"/>
      <c r="I49" s="53"/>
      <c r="J49" s="77"/>
      <c r="K49" s="77"/>
      <c r="L49" s="77"/>
      <c r="M49" s="77"/>
      <c r="N49" s="77"/>
      <c r="O49" s="77"/>
      <c r="P49" s="77"/>
      <c r="Q49" s="77"/>
      <c r="R49" s="77"/>
      <c r="S49" s="77"/>
      <c r="T49" s="53">
        <f t="shared" si="9"/>
        <v>13612</v>
      </c>
      <c r="U49" s="53">
        <f>U50+U51</f>
        <v>13612</v>
      </c>
      <c r="V49" s="53"/>
      <c r="W49" s="53"/>
      <c r="X49" s="53"/>
      <c r="Y49" s="54"/>
      <c r="Z49" s="54"/>
      <c r="AA49" s="55"/>
      <c r="AB49" s="55"/>
      <c r="AC49" s="55"/>
      <c r="AD49" s="55"/>
      <c r="AE49" s="55">
        <f t="shared" si="7"/>
        <v>13612</v>
      </c>
      <c r="AF49" s="17"/>
    </row>
    <row r="50" spans="1:32" ht="52.5" customHeight="1">
      <c r="A50" s="88"/>
      <c r="B50" s="133" t="s">
        <v>167</v>
      </c>
      <c r="C50" s="133" t="s">
        <v>168</v>
      </c>
      <c r="D50" s="179" t="s">
        <v>169</v>
      </c>
      <c r="E50" s="179"/>
      <c r="F50" s="53"/>
      <c r="G50" s="53"/>
      <c r="H50" s="53"/>
      <c r="I50" s="53"/>
      <c r="J50" s="77"/>
      <c r="K50" s="77"/>
      <c r="L50" s="77"/>
      <c r="M50" s="77"/>
      <c r="N50" s="77"/>
      <c r="O50" s="77"/>
      <c r="P50" s="77"/>
      <c r="Q50" s="77"/>
      <c r="R50" s="77"/>
      <c r="S50" s="77"/>
      <c r="T50" s="53">
        <f t="shared" si="9"/>
        <v>13592</v>
      </c>
      <c r="U50" s="53">
        <v>13592</v>
      </c>
      <c r="V50" s="53"/>
      <c r="W50" s="53"/>
      <c r="X50" s="53"/>
      <c r="Y50" s="54"/>
      <c r="Z50" s="54"/>
      <c r="AA50" s="55"/>
      <c r="AB50" s="55"/>
      <c r="AC50" s="55"/>
      <c r="AD50" s="55"/>
      <c r="AE50" s="55">
        <f t="shared" si="7"/>
        <v>13592</v>
      </c>
      <c r="AF50" s="17"/>
    </row>
    <row r="51" spans="1:32" ht="52.5" customHeight="1">
      <c r="A51" s="88"/>
      <c r="B51" s="133" t="s">
        <v>167</v>
      </c>
      <c r="C51" s="133" t="s">
        <v>168</v>
      </c>
      <c r="D51" s="75" t="s">
        <v>207</v>
      </c>
      <c r="E51" s="140"/>
      <c r="F51" s="140"/>
      <c r="G51" s="140"/>
      <c r="H51" s="140"/>
      <c r="I51" s="140"/>
      <c r="J51" s="141"/>
      <c r="K51" s="141"/>
      <c r="L51" s="141"/>
      <c r="M51" s="141"/>
      <c r="N51" s="141"/>
      <c r="O51" s="141"/>
      <c r="P51" s="141"/>
      <c r="Q51" s="141"/>
      <c r="R51" s="141"/>
      <c r="S51" s="142">
        <f>T51</f>
        <v>20</v>
      </c>
      <c r="T51" s="142">
        <v>20</v>
      </c>
      <c r="U51" s="53">
        <v>20</v>
      </c>
      <c r="V51" s="53"/>
      <c r="W51" s="53"/>
      <c r="X51" s="53"/>
      <c r="Y51" s="54"/>
      <c r="Z51" s="54"/>
      <c r="AA51" s="55"/>
      <c r="AB51" s="55"/>
      <c r="AC51" s="55"/>
      <c r="AD51" s="55"/>
      <c r="AE51" s="55">
        <f t="shared" si="7"/>
        <v>20</v>
      </c>
      <c r="AF51" s="17"/>
    </row>
    <row r="52" spans="1:32" ht="29.25" customHeight="1">
      <c r="A52" s="88"/>
      <c r="B52" s="133"/>
      <c r="C52" s="133"/>
      <c r="D52" s="75" t="s">
        <v>208</v>
      </c>
      <c r="E52" s="140"/>
      <c r="F52" s="140"/>
      <c r="G52" s="140"/>
      <c r="H52" s="140"/>
      <c r="I52" s="140"/>
      <c r="J52" s="141"/>
      <c r="K52" s="141"/>
      <c r="L52" s="141"/>
      <c r="M52" s="141"/>
      <c r="N52" s="141"/>
      <c r="O52" s="141"/>
      <c r="P52" s="141"/>
      <c r="Q52" s="141"/>
      <c r="R52" s="141"/>
      <c r="S52" s="142"/>
      <c r="T52" s="142"/>
      <c r="U52" s="53"/>
      <c r="V52" s="53"/>
      <c r="W52" s="53"/>
      <c r="X52" s="53"/>
      <c r="Y52" s="54"/>
      <c r="Z52" s="54"/>
      <c r="AA52" s="55"/>
      <c r="AB52" s="55"/>
      <c r="AC52" s="55"/>
      <c r="AD52" s="55"/>
      <c r="AE52" s="55">
        <f t="shared" si="7"/>
        <v>0</v>
      </c>
      <c r="AF52" s="17"/>
    </row>
    <row r="53" spans="1:32" ht="66" customHeight="1">
      <c r="A53" s="88"/>
      <c r="B53" s="133"/>
      <c r="C53" s="133"/>
      <c r="D53" s="143" t="s">
        <v>209</v>
      </c>
      <c r="E53" s="140"/>
      <c r="F53" s="140"/>
      <c r="G53" s="140"/>
      <c r="H53" s="140"/>
      <c r="I53" s="140"/>
      <c r="J53" s="141"/>
      <c r="K53" s="141"/>
      <c r="L53" s="141"/>
      <c r="M53" s="141"/>
      <c r="N53" s="141"/>
      <c r="O53" s="141"/>
      <c r="P53" s="141"/>
      <c r="Q53" s="141"/>
      <c r="R53" s="141"/>
      <c r="S53" s="142"/>
      <c r="T53" s="142">
        <v>20</v>
      </c>
      <c r="U53" s="53">
        <v>20</v>
      </c>
      <c r="V53" s="53"/>
      <c r="W53" s="53"/>
      <c r="X53" s="53"/>
      <c r="Y53" s="54"/>
      <c r="Z53" s="54"/>
      <c r="AA53" s="55"/>
      <c r="AB53" s="55"/>
      <c r="AC53" s="55"/>
      <c r="AD53" s="55"/>
      <c r="AE53" s="55">
        <f t="shared" si="7"/>
        <v>20</v>
      </c>
      <c r="AF53" s="17"/>
    </row>
    <row r="54" spans="1:32" ht="24" customHeight="1">
      <c r="A54" s="86"/>
      <c r="B54" s="89"/>
      <c r="C54" s="89"/>
      <c r="D54" s="94" t="s">
        <v>27</v>
      </c>
      <c r="E54" s="56" t="e">
        <f>F54</f>
        <v>#REF!</v>
      </c>
      <c r="F54" s="56" t="e">
        <f>#REF!+#REF!+F34</f>
        <v>#REF!</v>
      </c>
      <c r="G54" s="56" t="e">
        <f>#REF!+#REF!+G34</f>
        <v>#REF!</v>
      </c>
      <c r="H54" s="56" t="e">
        <f>#REF!+#REF!+H34</f>
        <v>#REF!</v>
      </c>
      <c r="I54" s="56"/>
      <c r="J54" s="94"/>
      <c r="K54" s="94"/>
      <c r="L54" s="94"/>
      <c r="M54" s="94"/>
      <c r="N54" s="94"/>
      <c r="O54" s="94"/>
      <c r="P54" s="94"/>
      <c r="Q54" s="94"/>
      <c r="R54" s="94"/>
      <c r="S54" s="94"/>
      <c r="T54" s="56">
        <f t="shared" si="9"/>
        <v>68041.70999999999</v>
      </c>
      <c r="U54" s="56">
        <f>U42+U33+U49+U41</f>
        <v>68041.70999999999</v>
      </c>
      <c r="V54" s="56">
        <f>V42+V33+V49</f>
        <v>33253.1</v>
      </c>
      <c r="W54" s="56">
        <f>W42+W33+W49</f>
        <v>9181.6</v>
      </c>
      <c r="X54" s="56">
        <f>X42+X33+X49</f>
        <v>0</v>
      </c>
      <c r="Y54" s="56">
        <f aca="true" t="shared" si="10" ref="Y54:AD54">Y42+Y33+Y49+Y47</f>
        <v>413.46500000000003</v>
      </c>
      <c r="Z54" s="56">
        <f t="shared" si="10"/>
        <v>7.8</v>
      </c>
      <c r="AA54" s="56">
        <f t="shared" si="10"/>
        <v>0</v>
      </c>
      <c r="AB54" s="56">
        <f t="shared" si="10"/>
        <v>0</v>
      </c>
      <c r="AC54" s="56">
        <f t="shared" si="10"/>
        <v>405.665</v>
      </c>
      <c r="AD54" s="56">
        <f t="shared" si="10"/>
        <v>405.665</v>
      </c>
      <c r="AE54" s="57">
        <f>T54+Y54</f>
        <v>68455.17499999999</v>
      </c>
      <c r="AF54" s="17"/>
    </row>
    <row r="55" spans="1:32" ht="54" customHeight="1">
      <c r="A55" s="98"/>
      <c r="B55" s="89"/>
      <c r="C55" s="89"/>
      <c r="D55" s="107" t="s">
        <v>85</v>
      </c>
      <c r="E55" s="53">
        <f>F55</f>
        <v>18392.9</v>
      </c>
      <c r="F55" s="53">
        <v>18392.9</v>
      </c>
      <c r="G55" s="53">
        <v>8200.1</v>
      </c>
      <c r="H55" s="53">
        <v>1525</v>
      </c>
      <c r="I55" s="53"/>
      <c r="J55" s="77"/>
      <c r="K55" s="77"/>
      <c r="L55" s="77"/>
      <c r="M55" s="77"/>
      <c r="N55" s="77"/>
      <c r="O55" s="77"/>
      <c r="P55" s="77"/>
      <c r="Q55" s="77"/>
      <c r="R55" s="77"/>
      <c r="S55" s="77"/>
      <c r="T55" s="53"/>
      <c r="U55" s="53"/>
      <c r="V55" s="51"/>
      <c r="W55" s="53"/>
      <c r="X55" s="53"/>
      <c r="Y55" s="54"/>
      <c r="Z55" s="54"/>
      <c r="AA55" s="55"/>
      <c r="AB55" s="55"/>
      <c r="AC55" s="55"/>
      <c r="AD55" s="55"/>
      <c r="AE55" s="55">
        <f t="shared" si="7"/>
        <v>0</v>
      </c>
      <c r="AF55" s="17"/>
    </row>
    <row r="56" spans="1:32" ht="37.5" customHeight="1">
      <c r="A56" s="98"/>
      <c r="B56" s="89" t="s">
        <v>17</v>
      </c>
      <c r="C56" s="89"/>
      <c r="D56" s="107" t="s">
        <v>3</v>
      </c>
      <c r="E56" s="53">
        <f>F56</f>
        <v>201278.8</v>
      </c>
      <c r="F56" s="53">
        <v>201278.8</v>
      </c>
      <c r="G56" s="53">
        <v>85631.2</v>
      </c>
      <c r="H56" s="53">
        <v>27599.9</v>
      </c>
      <c r="I56" s="53"/>
      <c r="J56" s="77"/>
      <c r="K56" s="77"/>
      <c r="L56" s="77"/>
      <c r="M56" s="77"/>
      <c r="N56" s="77"/>
      <c r="O56" s="77"/>
      <c r="P56" s="77"/>
      <c r="Q56" s="77"/>
      <c r="R56" s="77"/>
      <c r="S56" s="77"/>
      <c r="T56" s="53">
        <f>U56+X56</f>
        <v>97135.92000000001</v>
      </c>
      <c r="U56" s="53">
        <f>U57+U58+U59+U64+U66+U62+U72+U73+U74+U76+U77+U78+U79+U80+U81+U82+U83+U84+U85+U86+U87+U88+U89+U90+U91+U92+U93+U94+U95+U96+U97+U98+U99+U75</f>
        <v>97135.92000000001</v>
      </c>
      <c r="V56" s="53">
        <f aca="true" t="shared" si="11" ref="V56:AD56">V57+V58+V59+V64+V66+V62+V72+V73+V74+V76+V77+V78+V79+V80+V81+V82+V83+V84+V85+V86+V87+V88+V89+V90+V91+V92+V93+V94+V95+V96+V97+V98+V99</f>
        <v>3063.8199999999997</v>
      </c>
      <c r="W56" s="53">
        <f t="shared" si="11"/>
        <v>229.3</v>
      </c>
      <c r="X56" s="53">
        <f t="shared" si="11"/>
        <v>0</v>
      </c>
      <c r="Y56" s="53">
        <f t="shared" si="11"/>
        <v>230.001</v>
      </c>
      <c r="Z56" s="53">
        <f t="shared" si="11"/>
        <v>230.001</v>
      </c>
      <c r="AA56" s="53">
        <f t="shared" si="11"/>
        <v>24</v>
      </c>
      <c r="AB56" s="53">
        <f t="shared" si="11"/>
        <v>0</v>
      </c>
      <c r="AC56" s="53">
        <f t="shared" si="11"/>
        <v>0</v>
      </c>
      <c r="AD56" s="53">
        <f t="shared" si="11"/>
        <v>0</v>
      </c>
      <c r="AE56" s="53">
        <f>AE57+AE58+AE59+AE64+AE66+AE62+AE72+AE73+AE74+AE76+AE77+AE78+AE79+AE80+AE81+AE82+AE83+AE84+AE85+AE86+AE87+AE88+AE89+AE90+AE91+AE92+AE93+AE94+AE95+AE96+AE97+AE98+AE99+AE75</f>
        <v>97365.92100000002</v>
      </c>
      <c r="AF56" s="17"/>
    </row>
    <row r="57" spans="1:32" ht="324" customHeight="1">
      <c r="A57" s="98"/>
      <c r="B57" s="89" t="s">
        <v>86</v>
      </c>
      <c r="C57" s="89" t="s">
        <v>63</v>
      </c>
      <c r="D57" s="90" t="s">
        <v>87</v>
      </c>
      <c r="E57" s="53">
        <f>F57</f>
        <v>201278.8</v>
      </c>
      <c r="F57" s="53">
        <v>201278.8</v>
      </c>
      <c r="G57" s="53">
        <v>85631.2</v>
      </c>
      <c r="H57" s="53">
        <v>27599.9</v>
      </c>
      <c r="I57" s="53"/>
      <c r="J57" s="77"/>
      <c r="K57" s="77"/>
      <c r="L57" s="77"/>
      <c r="M57" s="77"/>
      <c r="N57" s="77"/>
      <c r="O57" s="77"/>
      <c r="P57" s="77"/>
      <c r="Q57" s="77"/>
      <c r="R57" s="77"/>
      <c r="S57" s="77"/>
      <c r="T57" s="53">
        <f>U57+X57</f>
        <v>3500</v>
      </c>
      <c r="U57" s="53">
        <v>3500</v>
      </c>
      <c r="V57" s="59"/>
      <c r="W57" s="59"/>
      <c r="X57" s="53"/>
      <c r="Y57" s="54"/>
      <c r="Z57" s="54"/>
      <c r="AA57" s="55"/>
      <c r="AB57" s="55"/>
      <c r="AC57" s="55"/>
      <c r="AD57" s="55"/>
      <c r="AE57" s="55">
        <f>U57+Y57</f>
        <v>3500</v>
      </c>
      <c r="AF57" s="17"/>
    </row>
    <row r="58" spans="1:32" ht="273.75" customHeight="1">
      <c r="A58" s="98"/>
      <c r="B58" s="89" t="s">
        <v>89</v>
      </c>
      <c r="C58" s="89" t="s">
        <v>63</v>
      </c>
      <c r="D58" s="90" t="s">
        <v>88</v>
      </c>
      <c r="E58" s="53">
        <f>F58</f>
        <v>16660.8</v>
      </c>
      <c r="F58" s="53">
        <v>16660.8</v>
      </c>
      <c r="G58" s="53"/>
      <c r="H58" s="53"/>
      <c r="I58" s="53"/>
      <c r="J58" s="77"/>
      <c r="K58" s="77"/>
      <c r="L58" s="77"/>
      <c r="M58" s="77"/>
      <c r="N58" s="77"/>
      <c r="O58" s="77"/>
      <c r="P58" s="77"/>
      <c r="Q58" s="77"/>
      <c r="R58" s="77"/>
      <c r="S58" s="77"/>
      <c r="T58" s="71">
        <f>U58+X58</f>
        <v>195.13231000000002</v>
      </c>
      <c r="U58" s="71">
        <f>190.52+4.61231</f>
        <v>195.13231000000002</v>
      </c>
      <c r="V58" s="59"/>
      <c r="W58" s="59"/>
      <c r="X58" s="53"/>
      <c r="Y58" s="54"/>
      <c r="Z58" s="54"/>
      <c r="AA58" s="55"/>
      <c r="AB58" s="55"/>
      <c r="AC58" s="55"/>
      <c r="AD58" s="55"/>
      <c r="AE58" s="74">
        <f>U58+Y58</f>
        <v>195.13231000000002</v>
      </c>
      <c r="AF58" s="17"/>
    </row>
    <row r="59" spans="1:32" ht="321.75" customHeight="1">
      <c r="A59" s="98"/>
      <c r="B59" s="89" t="s">
        <v>90</v>
      </c>
      <c r="C59" s="89" t="s">
        <v>63</v>
      </c>
      <c r="D59" s="77" t="s">
        <v>156</v>
      </c>
      <c r="E59" s="108">
        <v>1030</v>
      </c>
      <c r="F59" s="53">
        <v>530.6</v>
      </c>
      <c r="G59" s="53">
        <v>147.2</v>
      </c>
      <c r="H59" s="53"/>
      <c r="I59" s="53"/>
      <c r="J59" s="77"/>
      <c r="K59" s="77"/>
      <c r="L59" s="77"/>
      <c r="M59" s="77"/>
      <c r="N59" s="77"/>
      <c r="O59" s="77"/>
      <c r="P59" s="77"/>
      <c r="Q59" s="77"/>
      <c r="R59" s="77"/>
      <c r="S59" s="77"/>
      <c r="T59" s="53">
        <f>U59+X59</f>
        <v>300</v>
      </c>
      <c r="U59" s="53">
        <v>300</v>
      </c>
      <c r="V59" s="59"/>
      <c r="W59" s="59"/>
      <c r="X59" s="53"/>
      <c r="Y59" s="54"/>
      <c r="Z59" s="54"/>
      <c r="AA59" s="55"/>
      <c r="AB59" s="55"/>
      <c r="AC59" s="55"/>
      <c r="AD59" s="55"/>
      <c r="AE59" s="55">
        <f>U59+Y59</f>
        <v>300</v>
      </c>
      <c r="AF59" s="17"/>
    </row>
    <row r="60" spans="1:32" ht="316.5" customHeight="1">
      <c r="A60" s="109"/>
      <c r="B60" s="89"/>
      <c r="C60" s="89"/>
      <c r="D60" s="110" t="s">
        <v>157</v>
      </c>
      <c r="E60" s="108"/>
      <c r="F60" s="53"/>
      <c r="G60" s="53"/>
      <c r="H60" s="53"/>
      <c r="I60" s="53"/>
      <c r="J60" s="77"/>
      <c r="K60" s="77"/>
      <c r="L60" s="77"/>
      <c r="M60" s="77"/>
      <c r="N60" s="77"/>
      <c r="O60" s="77"/>
      <c r="P60" s="77"/>
      <c r="Q60" s="77"/>
      <c r="R60" s="77"/>
      <c r="S60" s="77"/>
      <c r="T60" s="53"/>
      <c r="U60" s="53"/>
      <c r="V60" s="59"/>
      <c r="W60" s="59"/>
      <c r="X60" s="53"/>
      <c r="Y60" s="54"/>
      <c r="Z60" s="54"/>
      <c r="AA60" s="55"/>
      <c r="AB60" s="55"/>
      <c r="AC60" s="55"/>
      <c r="AD60" s="55"/>
      <c r="AE60" s="55">
        <f>U60+Y60</f>
        <v>0</v>
      </c>
      <c r="AF60" s="17"/>
    </row>
    <row r="61" spans="1:32" ht="246.75" customHeight="1">
      <c r="A61" s="109"/>
      <c r="B61" s="89"/>
      <c r="C61" s="89"/>
      <c r="D61" s="110" t="s">
        <v>178</v>
      </c>
      <c r="E61" s="108"/>
      <c r="F61" s="53"/>
      <c r="G61" s="53"/>
      <c r="H61" s="53"/>
      <c r="I61" s="53"/>
      <c r="J61" s="77"/>
      <c r="K61" s="77"/>
      <c r="L61" s="77"/>
      <c r="M61" s="77"/>
      <c r="N61" s="77"/>
      <c r="O61" s="77"/>
      <c r="P61" s="77"/>
      <c r="Q61" s="77"/>
      <c r="R61" s="77"/>
      <c r="S61" s="77"/>
      <c r="T61" s="53"/>
      <c r="U61" s="53"/>
      <c r="V61" s="59"/>
      <c r="W61" s="59"/>
      <c r="X61" s="53"/>
      <c r="Y61" s="54"/>
      <c r="Z61" s="54"/>
      <c r="AA61" s="55"/>
      <c r="AB61" s="55"/>
      <c r="AC61" s="55"/>
      <c r="AD61" s="55"/>
      <c r="AE61" s="55"/>
      <c r="AF61" s="17"/>
    </row>
    <row r="62" spans="1:32" ht="320.25" customHeight="1">
      <c r="A62" s="109"/>
      <c r="B62" s="89" t="s">
        <v>91</v>
      </c>
      <c r="C62" s="89" t="s">
        <v>63</v>
      </c>
      <c r="D62" s="77" t="s">
        <v>156</v>
      </c>
      <c r="E62" s="53">
        <f>F62</f>
        <v>101</v>
      </c>
      <c r="F62" s="53">
        <v>101</v>
      </c>
      <c r="G62" s="53"/>
      <c r="H62" s="53"/>
      <c r="I62" s="53"/>
      <c r="J62" s="77"/>
      <c r="K62" s="77"/>
      <c r="L62" s="77"/>
      <c r="M62" s="77"/>
      <c r="N62" s="77"/>
      <c r="O62" s="77"/>
      <c r="P62" s="77"/>
      <c r="Q62" s="77"/>
      <c r="R62" s="77"/>
      <c r="S62" s="77"/>
      <c r="T62" s="73">
        <f>U62+X62</f>
        <v>1.5300600000000002</v>
      </c>
      <c r="U62" s="71">
        <f>3.2-1.66994</f>
        <v>1.5300600000000002</v>
      </c>
      <c r="V62" s="59"/>
      <c r="W62" s="59"/>
      <c r="X62" s="53"/>
      <c r="Y62" s="54">
        <f>Z62+AC62</f>
        <v>0</v>
      </c>
      <c r="Z62" s="42"/>
      <c r="AA62" s="58"/>
      <c r="AB62" s="58"/>
      <c r="AC62" s="58"/>
      <c r="AD62" s="58"/>
      <c r="AE62" s="74">
        <f>U62+Y62</f>
        <v>1.5300600000000002</v>
      </c>
      <c r="AF62" s="17"/>
    </row>
    <row r="63" spans="1:32" ht="381.75" customHeight="1">
      <c r="A63" s="109"/>
      <c r="B63" s="89"/>
      <c r="C63" s="89"/>
      <c r="D63" s="111" t="s">
        <v>177</v>
      </c>
      <c r="E63" s="104">
        <f>SUM(E64:E66)</f>
        <v>595.5</v>
      </c>
      <c r="F63" s="104">
        <f>SUM(F64:F66)</f>
        <v>595.5</v>
      </c>
      <c r="G63" s="104">
        <f>SUM(G64:G66)</f>
        <v>0</v>
      </c>
      <c r="H63" s="104">
        <f>SUM(H64:H66)</f>
        <v>0</v>
      </c>
      <c r="I63" s="104">
        <f>SUM(I64:I66)</f>
        <v>0</v>
      </c>
      <c r="J63" s="75"/>
      <c r="K63" s="75"/>
      <c r="L63" s="75" t="e">
        <f>L64+L65+L66+#REF!</f>
        <v>#REF!</v>
      </c>
      <c r="M63" s="75" t="e">
        <f>M64+M65+M66+#REF!</f>
        <v>#REF!</v>
      </c>
      <c r="N63" s="75"/>
      <c r="O63" s="75" t="e">
        <f>O64+O65+O66+#REF!</f>
        <v>#REF!</v>
      </c>
      <c r="P63" s="75"/>
      <c r="Q63" s="75" t="e">
        <f>Q64+Q65+Q66+#REF!</f>
        <v>#REF!</v>
      </c>
      <c r="R63" s="75" t="e">
        <f>R64+R65+R66+#REF!</f>
        <v>#REF!</v>
      </c>
      <c r="S63" s="75"/>
      <c r="T63" s="53"/>
      <c r="U63" s="53"/>
      <c r="V63" s="53"/>
      <c r="W63" s="53"/>
      <c r="X63" s="53"/>
      <c r="Y63" s="61"/>
      <c r="Z63" s="61"/>
      <c r="AA63" s="61"/>
      <c r="AB63" s="61"/>
      <c r="AC63" s="61"/>
      <c r="AD63" s="61"/>
      <c r="AE63" s="74"/>
      <c r="AF63" s="30"/>
    </row>
    <row r="64" spans="1:32" ht="133.5" customHeight="1">
      <c r="A64" s="109"/>
      <c r="B64" s="89" t="s">
        <v>93</v>
      </c>
      <c r="C64" s="89" t="s">
        <v>154</v>
      </c>
      <c r="D64" s="90" t="s">
        <v>92</v>
      </c>
      <c r="E64" s="53">
        <f>F64+I64</f>
        <v>274.9</v>
      </c>
      <c r="F64" s="53">
        <v>274.9</v>
      </c>
      <c r="G64" s="53"/>
      <c r="H64" s="53"/>
      <c r="I64" s="53"/>
      <c r="J64" s="77"/>
      <c r="K64" s="77"/>
      <c r="L64" s="77"/>
      <c r="M64" s="77"/>
      <c r="N64" s="77"/>
      <c r="O64" s="77"/>
      <c r="P64" s="77"/>
      <c r="Q64" s="77"/>
      <c r="R64" s="77"/>
      <c r="S64" s="77"/>
      <c r="T64" s="62">
        <f>U64+X64</f>
        <v>100</v>
      </c>
      <c r="U64" s="53">
        <v>100</v>
      </c>
      <c r="V64" s="53">
        <f>G64+L64+Q64</f>
        <v>0</v>
      </c>
      <c r="W64" s="53"/>
      <c r="X64" s="53"/>
      <c r="Y64" s="54">
        <f>Z64+AC64</f>
        <v>0</v>
      </c>
      <c r="Z64" s="42"/>
      <c r="AA64" s="58"/>
      <c r="AB64" s="58"/>
      <c r="AC64" s="58"/>
      <c r="AD64" s="58"/>
      <c r="AE64" s="55">
        <f>U64+Y64</f>
        <v>100</v>
      </c>
      <c r="AF64" s="17"/>
    </row>
    <row r="65" spans="1:32" ht="51" customHeight="1" hidden="1">
      <c r="A65" s="109"/>
      <c r="B65" s="89" t="s">
        <v>32</v>
      </c>
      <c r="C65" s="89" t="s">
        <v>60</v>
      </c>
      <c r="D65" s="77" t="s">
        <v>20</v>
      </c>
      <c r="E65" s="53">
        <f>F65+I65</f>
        <v>0</v>
      </c>
      <c r="F65" s="53">
        <v>0</v>
      </c>
      <c r="G65" s="53"/>
      <c r="H65" s="53"/>
      <c r="I65" s="53"/>
      <c r="J65" s="77"/>
      <c r="K65" s="77"/>
      <c r="L65" s="77"/>
      <c r="M65" s="77"/>
      <c r="N65" s="77"/>
      <c r="O65" s="77"/>
      <c r="P65" s="77"/>
      <c r="Q65" s="77"/>
      <c r="R65" s="77"/>
      <c r="S65" s="77"/>
      <c r="T65" s="62">
        <f>U65+X65</f>
        <v>0</v>
      </c>
      <c r="U65" s="53">
        <f>E65+J65+O65</f>
        <v>0</v>
      </c>
      <c r="V65" s="53">
        <f>G65+L65+Q65</f>
        <v>0</v>
      </c>
      <c r="W65" s="53">
        <f>H65+M65+R65</f>
        <v>0</v>
      </c>
      <c r="X65" s="53"/>
      <c r="Y65" s="54">
        <f>Z65+AC65</f>
        <v>0</v>
      </c>
      <c r="Z65" s="42"/>
      <c r="AA65" s="58"/>
      <c r="AB65" s="58"/>
      <c r="AC65" s="58"/>
      <c r="AD65" s="58"/>
      <c r="AE65" s="55">
        <f>U65+Y65</f>
        <v>0</v>
      </c>
      <c r="AF65" s="17"/>
    </row>
    <row r="66" spans="1:32" ht="132.75" customHeight="1">
      <c r="A66" s="109"/>
      <c r="B66" s="89" t="s">
        <v>94</v>
      </c>
      <c r="C66" s="89" t="s">
        <v>154</v>
      </c>
      <c r="D66" s="90" t="s">
        <v>95</v>
      </c>
      <c r="E66" s="53">
        <f>F66+I66</f>
        <v>320.6</v>
      </c>
      <c r="F66" s="53">
        <v>320.6</v>
      </c>
      <c r="G66" s="53"/>
      <c r="H66" s="53"/>
      <c r="I66" s="53"/>
      <c r="J66" s="77"/>
      <c r="K66" s="77"/>
      <c r="L66" s="77"/>
      <c r="M66" s="77"/>
      <c r="N66" s="77"/>
      <c r="O66" s="77"/>
      <c r="P66" s="77"/>
      <c r="Q66" s="77"/>
      <c r="R66" s="77"/>
      <c r="S66" s="77"/>
      <c r="T66" s="72">
        <f>U66+X66</f>
        <v>2.3</v>
      </c>
      <c r="U66" s="71">
        <v>2.3</v>
      </c>
      <c r="V66" s="53"/>
      <c r="W66" s="53">
        <f>H66+M66+R66</f>
        <v>0</v>
      </c>
      <c r="X66" s="53"/>
      <c r="Y66" s="54">
        <f>Z66+AC66</f>
        <v>0</v>
      </c>
      <c r="Z66" s="42"/>
      <c r="AA66" s="58"/>
      <c r="AB66" s="58"/>
      <c r="AC66" s="58"/>
      <c r="AD66" s="58"/>
      <c r="AE66" s="74">
        <f>U66+Y66</f>
        <v>2.3</v>
      </c>
      <c r="AF66" s="17"/>
    </row>
    <row r="67" spans="1:32" ht="0" customHeight="1" hidden="1">
      <c r="A67" s="109"/>
      <c r="B67" s="89"/>
      <c r="C67" s="89"/>
      <c r="D67" s="112"/>
      <c r="E67" s="113"/>
      <c r="F67" s="113"/>
      <c r="G67" s="113"/>
      <c r="H67" s="113"/>
      <c r="I67" s="113"/>
      <c r="J67" s="112"/>
      <c r="K67" s="112"/>
      <c r="L67" s="112"/>
      <c r="M67" s="112"/>
      <c r="N67" s="112"/>
      <c r="O67" s="112"/>
      <c r="P67" s="112"/>
      <c r="Q67" s="112"/>
      <c r="R67" s="112"/>
      <c r="S67" s="112"/>
      <c r="T67" s="62">
        <f aca="true" t="shared" si="12" ref="T67:T72">U67+X67</f>
        <v>0</v>
      </c>
      <c r="U67" s="53"/>
      <c r="V67" s="53"/>
      <c r="W67" s="53"/>
      <c r="X67" s="53"/>
      <c r="Y67" s="54"/>
      <c r="Z67" s="42"/>
      <c r="AA67" s="58"/>
      <c r="AB67" s="58"/>
      <c r="AC67" s="58"/>
      <c r="AD67" s="58"/>
      <c r="AE67" s="55">
        <f>T67+Y67</f>
        <v>0</v>
      </c>
      <c r="AF67" s="16"/>
    </row>
    <row r="68" spans="1:32" ht="0" customHeight="1" hidden="1">
      <c r="A68" s="109"/>
      <c r="B68" s="89"/>
      <c r="C68" s="89"/>
      <c r="D68" s="112"/>
      <c r="E68" s="113"/>
      <c r="F68" s="113"/>
      <c r="G68" s="113"/>
      <c r="H68" s="113"/>
      <c r="I68" s="113"/>
      <c r="J68" s="112"/>
      <c r="K68" s="112"/>
      <c r="L68" s="112"/>
      <c r="M68" s="112"/>
      <c r="N68" s="112"/>
      <c r="O68" s="112"/>
      <c r="P68" s="112"/>
      <c r="Q68" s="112"/>
      <c r="R68" s="112"/>
      <c r="S68" s="112"/>
      <c r="T68" s="62">
        <f t="shared" si="12"/>
        <v>0</v>
      </c>
      <c r="U68" s="53"/>
      <c r="V68" s="53"/>
      <c r="W68" s="53"/>
      <c r="X68" s="53"/>
      <c r="Y68" s="54"/>
      <c r="Z68" s="42"/>
      <c r="AA68" s="58"/>
      <c r="AB68" s="58"/>
      <c r="AC68" s="58"/>
      <c r="AD68" s="58"/>
      <c r="AE68" s="55">
        <f>T68+Y68</f>
        <v>0</v>
      </c>
      <c r="AF68" s="16"/>
    </row>
    <row r="69" spans="1:32" ht="0" customHeight="1" hidden="1">
      <c r="A69" s="109"/>
      <c r="B69" s="89"/>
      <c r="C69" s="89"/>
      <c r="D69" s="112"/>
      <c r="E69" s="113"/>
      <c r="F69" s="113"/>
      <c r="G69" s="113"/>
      <c r="H69" s="113"/>
      <c r="I69" s="113"/>
      <c r="J69" s="112"/>
      <c r="K69" s="112"/>
      <c r="L69" s="112"/>
      <c r="M69" s="112"/>
      <c r="N69" s="112"/>
      <c r="O69" s="112"/>
      <c r="P69" s="112"/>
      <c r="Q69" s="112"/>
      <c r="R69" s="112"/>
      <c r="S69" s="112"/>
      <c r="T69" s="62">
        <f t="shared" si="12"/>
        <v>0</v>
      </c>
      <c r="U69" s="53"/>
      <c r="V69" s="53"/>
      <c r="W69" s="53"/>
      <c r="X69" s="53"/>
      <c r="Y69" s="54"/>
      <c r="Z69" s="42"/>
      <c r="AA69" s="58"/>
      <c r="AB69" s="58"/>
      <c r="AC69" s="58"/>
      <c r="AD69" s="58"/>
      <c r="AE69" s="55">
        <f>T69+Y69</f>
        <v>0</v>
      </c>
      <c r="AF69" s="16"/>
    </row>
    <row r="70" spans="1:32" ht="0" customHeight="1" hidden="1">
      <c r="A70" s="109"/>
      <c r="B70" s="89"/>
      <c r="C70" s="89"/>
      <c r="D70" s="112"/>
      <c r="E70" s="113"/>
      <c r="F70" s="113"/>
      <c r="G70" s="113"/>
      <c r="H70" s="113"/>
      <c r="I70" s="113"/>
      <c r="J70" s="112"/>
      <c r="K70" s="112"/>
      <c r="L70" s="112"/>
      <c r="M70" s="112"/>
      <c r="N70" s="112"/>
      <c r="O70" s="112"/>
      <c r="P70" s="112"/>
      <c r="Q70" s="112"/>
      <c r="R70" s="112"/>
      <c r="S70" s="112"/>
      <c r="T70" s="62">
        <f t="shared" si="12"/>
        <v>0</v>
      </c>
      <c r="U70" s="53"/>
      <c r="V70" s="53"/>
      <c r="W70" s="53"/>
      <c r="X70" s="53"/>
      <c r="Y70" s="54"/>
      <c r="Z70" s="42"/>
      <c r="AA70" s="58"/>
      <c r="AB70" s="58"/>
      <c r="AC70" s="58"/>
      <c r="AD70" s="58"/>
      <c r="AE70" s="55">
        <f>T70+Y70</f>
        <v>0</v>
      </c>
      <c r="AF70" s="16"/>
    </row>
    <row r="71" spans="1:32" ht="0" customHeight="1" hidden="1">
      <c r="A71" s="109"/>
      <c r="B71" s="89"/>
      <c r="C71" s="89"/>
      <c r="D71" s="112"/>
      <c r="E71" s="113"/>
      <c r="F71" s="113"/>
      <c r="G71" s="113"/>
      <c r="H71" s="113"/>
      <c r="I71" s="113"/>
      <c r="J71" s="112"/>
      <c r="K71" s="112"/>
      <c r="L71" s="112"/>
      <c r="M71" s="112"/>
      <c r="N71" s="112"/>
      <c r="O71" s="112"/>
      <c r="P71" s="112"/>
      <c r="Q71" s="112"/>
      <c r="R71" s="112"/>
      <c r="S71" s="112"/>
      <c r="T71" s="62">
        <f t="shared" si="12"/>
        <v>0</v>
      </c>
      <c r="U71" s="53"/>
      <c r="V71" s="53"/>
      <c r="W71" s="53"/>
      <c r="X71" s="53"/>
      <c r="Y71" s="54"/>
      <c r="Z71" s="42"/>
      <c r="AA71" s="58"/>
      <c r="AB71" s="58"/>
      <c r="AC71" s="58"/>
      <c r="AD71" s="58"/>
      <c r="AE71" s="55">
        <f>T71+Y71</f>
        <v>0</v>
      </c>
      <c r="AF71" s="16"/>
    </row>
    <row r="72" spans="1:32" ht="265.5" customHeight="1">
      <c r="A72" s="109"/>
      <c r="B72" s="89" t="s">
        <v>96</v>
      </c>
      <c r="C72" s="89" t="s">
        <v>154</v>
      </c>
      <c r="D72" s="90" t="s">
        <v>99</v>
      </c>
      <c r="E72" s="113"/>
      <c r="F72" s="113"/>
      <c r="G72" s="113"/>
      <c r="H72" s="113"/>
      <c r="I72" s="113"/>
      <c r="J72" s="112"/>
      <c r="K72" s="112"/>
      <c r="L72" s="112"/>
      <c r="M72" s="112"/>
      <c r="N72" s="112"/>
      <c r="O72" s="112"/>
      <c r="P72" s="112"/>
      <c r="Q72" s="112"/>
      <c r="R72" s="112"/>
      <c r="S72" s="112"/>
      <c r="T72" s="62">
        <f t="shared" si="12"/>
        <v>600</v>
      </c>
      <c r="U72" s="53">
        <v>600</v>
      </c>
      <c r="V72" s="53"/>
      <c r="W72" s="53"/>
      <c r="X72" s="53"/>
      <c r="Y72" s="54"/>
      <c r="Z72" s="42"/>
      <c r="AA72" s="58"/>
      <c r="AB72" s="58"/>
      <c r="AC72" s="58"/>
      <c r="AD72" s="58"/>
      <c r="AE72" s="55">
        <f aca="true" t="shared" si="13" ref="AE72:AE87">U72+Y72</f>
        <v>600</v>
      </c>
      <c r="AF72" s="16"/>
    </row>
    <row r="73" spans="1:32" ht="256.5" customHeight="1">
      <c r="A73" s="109"/>
      <c r="B73" s="89" t="s">
        <v>97</v>
      </c>
      <c r="C73" s="89" t="s">
        <v>154</v>
      </c>
      <c r="D73" s="90" t="s">
        <v>100</v>
      </c>
      <c r="E73" s="113"/>
      <c r="F73" s="113"/>
      <c r="G73" s="113"/>
      <c r="H73" s="113"/>
      <c r="I73" s="113"/>
      <c r="J73" s="112"/>
      <c r="K73" s="112"/>
      <c r="L73" s="112"/>
      <c r="M73" s="112"/>
      <c r="N73" s="112"/>
      <c r="O73" s="112"/>
      <c r="P73" s="112"/>
      <c r="Q73" s="112"/>
      <c r="R73" s="112"/>
      <c r="S73" s="112"/>
      <c r="T73" s="62">
        <f>U73+X73</f>
        <v>101.5</v>
      </c>
      <c r="U73" s="53">
        <v>101.5</v>
      </c>
      <c r="V73" s="53"/>
      <c r="W73" s="53"/>
      <c r="X73" s="53"/>
      <c r="Y73" s="54"/>
      <c r="Z73" s="42"/>
      <c r="AA73" s="58"/>
      <c r="AB73" s="58"/>
      <c r="AC73" s="58"/>
      <c r="AD73" s="58"/>
      <c r="AE73" s="55">
        <f t="shared" si="13"/>
        <v>101.5</v>
      </c>
      <c r="AF73" s="16"/>
    </row>
    <row r="74" spans="1:32" ht="78.75" customHeight="1">
      <c r="A74" s="109"/>
      <c r="B74" s="89" t="s">
        <v>98</v>
      </c>
      <c r="C74" s="89" t="s">
        <v>154</v>
      </c>
      <c r="D74" s="90" t="s">
        <v>102</v>
      </c>
      <c r="E74" s="113"/>
      <c r="F74" s="113"/>
      <c r="G74" s="113"/>
      <c r="H74" s="113"/>
      <c r="I74" s="113"/>
      <c r="J74" s="112"/>
      <c r="K74" s="112"/>
      <c r="L74" s="112"/>
      <c r="M74" s="112"/>
      <c r="N74" s="112"/>
      <c r="O74" s="112"/>
      <c r="P74" s="112"/>
      <c r="Q74" s="112"/>
      <c r="R74" s="112"/>
      <c r="S74" s="112"/>
      <c r="T74" s="62">
        <f>U74+X74</f>
        <v>70.5</v>
      </c>
      <c r="U74" s="53">
        <v>70.5</v>
      </c>
      <c r="V74" s="53"/>
      <c r="W74" s="53"/>
      <c r="X74" s="53"/>
      <c r="Y74" s="54"/>
      <c r="Z74" s="42"/>
      <c r="AA74" s="58"/>
      <c r="AB74" s="58"/>
      <c r="AC74" s="58"/>
      <c r="AD74" s="58"/>
      <c r="AE74" s="55">
        <f t="shared" si="13"/>
        <v>70.5</v>
      </c>
      <c r="AF74" s="16"/>
    </row>
    <row r="75" spans="1:32" ht="52.5" customHeight="1">
      <c r="A75" s="109"/>
      <c r="B75" s="89" t="s">
        <v>179</v>
      </c>
      <c r="C75" s="89" t="s">
        <v>154</v>
      </c>
      <c r="D75" s="90" t="s">
        <v>180</v>
      </c>
      <c r="E75" s="113"/>
      <c r="F75" s="113"/>
      <c r="G75" s="113"/>
      <c r="H75" s="113"/>
      <c r="I75" s="113"/>
      <c r="J75" s="112"/>
      <c r="K75" s="112"/>
      <c r="L75" s="112"/>
      <c r="M75" s="112"/>
      <c r="N75" s="112"/>
      <c r="O75" s="112"/>
      <c r="P75" s="112"/>
      <c r="Q75" s="112"/>
      <c r="R75" s="112"/>
      <c r="S75" s="112"/>
      <c r="T75" s="62">
        <f>U75+X75</f>
        <v>33.730000000000004</v>
      </c>
      <c r="U75" s="53">
        <f>18+6.43+9.3</f>
        <v>33.730000000000004</v>
      </c>
      <c r="V75" s="53"/>
      <c r="W75" s="53"/>
      <c r="X75" s="53"/>
      <c r="Y75" s="54"/>
      <c r="Z75" s="42"/>
      <c r="AA75" s="58"/>
      <c r="AB75" s="58"/>
      <c r="AC75" s="58"/>
      <c r="AD75" s="58"/>
      <c r="AE75" s="55">
        <f t="shared" si="13"/>
        <v>33.730000000000004</v>
      </c>
      <c r="AF75" s="16"/>
    </row>
    <row r="76" spans="1:32" ht="171" customHeight="1">
      <c r="A76" s="109"/>
      <c r="B76" s="89" t="s">
        <v>103</v>
      </c>
      <c r="C76" s="89" t="s">
        <v>154</v>
      </c>
      <c r="D76" s="90" t="s">
        <v>104</v>
      </c>
      <c r="E76" s="113"/>
      <c r="F76" s="113"/>
      <c r="G76" s="113"/>
      <c r="H76" s="113"/>
      <c r="I76" s="113"/>
      <c r="J76" s="112"/>
      <c r="K76" s="112"/>
      <c r="L76" s="112"/>
      <c r="M76" s="112"/>
      <c r="N76" s="112"/>
      <c r="O76" s="112"/>
      <c r="P76" s="112"/>
      <c r="Q76" s="112"/>
      <c r="R76" s="112"/>
      <c r="S76" s="112"/>
      <c r="T76" s="62">
        <f>U76+X76</f>
        <v>1100</v>
      </c>
      <c r="U76" s="53">
        <v>1100</v>
      </c>
      <c r="V76" s="53"/>
      <c r="W76" s="53"/>
      <c r="X76" s="53"/>
      <c r="Y76" s="54"/>
      <c r="Z76" s="42"/>
      <c r="AA76" s="58"/>
      <c r="AB76" s="58"/>
      <c r="AC76" s="58"/>
      <c r="AD76" s="58"/>
      <c r="AE76" s="55">
        <f t="shared" si="13"/>
        <v>1100</v>
      </c>
      <c r="AF76" s="16"/>
    </row>
    <row r="77" spans="1:32" ht="185.25" customHeight="1">
      <c r="A77" s="109"/>
      <c r="B77" s="89" t="s">
        <v>105</v>
      </c>
      <c r="C77" s="89" t="s">
        <v>154</v>
      </c>
      <c r="D77" s="90" t="s">
        <v>106</v>
      </c>
      <c r="E77" s="113"/>
      <c r="F77" s="113"/>
      <c r="G77" s="113"/>
      <c r="H77" s="113"/>
      <c r="I77" s="113"/>
      <c r="J77" s="112"/>
      <c r="K77" s="112"/>
      <c r="L77" s="112"/>
      <c r="M77" s="112"/>
      <c r="N77" s="112"/>
      <c r="O77" s="112"/>
      <c r="P77" s="112"/>
      <c r="Q77" s="112"/>
      <c r="R77" s="112"/>
      <c r="S77" s="112"/>
      <c r="T77" s="72">
        <f>U77+X77</f>
        <v>175.05763</v>
      </c>
      <c r="U77" s="71">
        <f>178-2.94237</f>
        <v>175.05763</v>
      </c>
      <c r="V77" s="53"/>
      <c r="W77" s="53"/>
      <c r="X77" s="53"/>
      <c r="Y77" s="54"/>
      <c r="Z77" s="42"/>
      <c r="AA77" s="58"/>
      <c r="AB77" s="58"/>
      <c r="AC77" s="58"/>
      <c r="AD77" s="58"/>
      <c r="AE77" s="74">
        <f t="shared" si="13"/>
        <v>175.05763</v>
      </c>
      <c r="AF77" s="16"/>
    </row>
    <row r="78" spans="1:32" ht="50.25" customHeight="1">
      <c r="A78" s="109"/>
      <c r="B78" s="89" t="s">
        <v>107</v>
      </c>
      <c r="C78" s="89" t="s">
        <v>60</v>
      </c>
      <c r="D78" s="90" t="s">
        <v>108</v>
      </c>
      <c r="E78" s="113"/>
      <c r="F78" s="113"/>
      <c r="G78" s="113"/>
      <c r="H78" s="113"/>
      <c r="I78" s="113"/>
      <c r="J78" s="112"/>
      <c r="K78" s="112"/>
      <c r="L78" s="112"/>
      <c r="M78" s="112"/>
      <c r="N78" s="112"/>
      <c r="O78" s="112"/>
      <c r="P78" s="112"/>
      <c r="Q78" s="112"/>
      <c r="R78" s="112"/>
      <c r="S78" s="112"/>
      <c r="T78" s="62">
        <f aca="true" t="shared" si="14" ref="T78:T91">U78+X78</f>
        <v>376.9</v>
      </c>
      <c r="U78" s="53">
        <v>376.9</v>
      </c>
      <c r="V78" s="53"/>
      <c r="W78" s="53"/>
      <c r="X78" s="53"/>
      <c r="Y78" s="54"/>
      <c r="Z78" s="42"/>
      <c r="AA78" s="58"/>
      <c r="AB78" s="58"/>
      <c r="AC78" s="58"/>
      <c r="AD78" s="58"/>
      <c r="AE78" s="55">
        <f t="shared" si="13"/>
        <v>376.9</v>
      </c>
      <c r="AF78" s="16"/>
    </row>
    <row r="79" spans="1:32" ht="39" customHeight="1">
      <c r="A79" s="109"/>
      <c r="B79" s="89" t="s">
        <v>109</v>
      </c>
      <c r="C79" s="89" t="s">
        <v>60</v>
      </c>
      <c r="D79" s="112" t="s">
        <v>110</v>
      </c>
      <c r="E79" s="113"/>
      <c r="F79" s="113"/>
      <c r="G79" s="113"/>
      <c r="H79" s="113"/>
      <c r="I79" s="113"/>
      <c r="J79" s="112"/>
      <c r="K79" s="112"/>
      <c r="L79" s="112"/>
      <c r="M79" s="112"/>
      <c r="N79" s="112"/>
      <c r="O79" s="112"/>
      <c r="P79" s="112"/>
      <c r="Q79" s="112"/>
      <c r="R79" s="112"/>
      <c r="S79" s="112"/>
      <c r="T79" s="62">
        <f t="shared" si="14"/>
        <v>271.105</v>
      </c>
      <c r="U79" s="53">
        <v>271.105</v>
      </c>
      <c r="V79" s="53"/>
      <c r="W79" s="53"/>
      <c r="X79" s="53"/>
      <c r="Y79" s="54"/>
      <c r="Z79" s="42"/>
      <c r="AA79" s="58"/>
      <c r="AB79" s="58"/>
      <c r="AC79" s="58"/>
      <c r="AD79" s="58"/>
      <c r="AE79" s="55">
        <f t="shared" si="13"/>
        <v>271.105</v>
      </c>
      <c r="AF79" s="16"/>
    </row>
    <row r="80" spans="1:32" ht="52.5" customHeight="1">
      <c r="A80" s="109"/>
      <c r="B80" s="89" t="s">
        <v>111</v>
      </c>
      <c r="C80" s="89" t="s">
        <v>60</v>
      </c>
      <c r="D80" s="90" t="s">
        <v>113</v>
      </c>
      <c r="E80" s="113"/>
      <c r="F80" s="113"/>
      <c r="G80" s="113"/>
      <c r="H80" s="113"/>
      <c r="I80" s="113"/>
      <c r="J80" s="112"/>
      <c r="K80" s="112"/>
      <c r="L80" s="112"/>
      <c r="M80" s="112"/>
      <c r="N80" s="112"/>
      <c r="O80" s="112"/>
      <c r="P80" s="112"/>
      <c r="Q80" s="112"/>
      <c r="R80" s="112"/>
      <c r="S80" s="112"/>
      <c r="T80" s="62">
        <f t="shared" si="14"/>
        <v>22675.5</v>
      </c>
      <c r="U80" s="53">
        <v>22675.5</v>
      </c>
      <c r="V80" s="53"/>
      <c r="W80" s="53"/>
      <c r="X80" s="53"/>
      <c r="Y80" s="54"/>
      <c r="Z80" s="42"/>
      <c r="AA80" s="58"/>
      <c r="AB80" s="58"/>
      <c r="AC80" s="58"/>
      <c r="AD80" s="58"/>
      <c r="AE80" s="55">
        <f t="shared" si="13"/>
        <v>22675.5</v>
      </c>
      <c r="AF80" s="16"/>
    </row>
    <row r="81" spans="1:32" ht="51" customHeight="1">
      <c r="A81" s="109"/>
      <c r="B81" s="89" t="s">
        <v>112</v>
      </c>
      <c r="C81" s="89" t="s">
        <v>60</v>
      </c>
      <c r="D81" s="90" t="s">
        <v>114</v>
      </c>
      <c r="E81" s="113"/>
      <c r="F81" s="113"/>
      <c r="G81" s="113"/>
      <c r="H81" s="113"/>
      <c r="I81" s="113"/>
      <c r="J81" s="112"/>
      <c r="K81" s="112"/>
      <c r="L81" s="112"/>
      <c r="M81" s="112"/>
      <c r="N81" s="112"/>
      <c r="O81" s="112"/>
      <c r="P81" s="112"/>
      <c r="Q81" s="112"/>
      <c r="R81" s="112"/>
      <c r="S81" s="112"/>
      <c r="T81" s="62">
        <f t="shared" si="14"/>
        <v>2971.9</v>
      </c>
      <c r="U81" s="53">
        <v>2971.9</v>
      </c>
      <c r="V81" s="53"/>
      <c r="W81" s="53"/>
      <c r="X81" s="53"/>
      <c r="Y81" s="54"/>
      <c r="Z81" s="42"/>
      <c r="AA81" s="58"/>
      <c r="AB81" s="58"/>
      <c r="AC81" s="58"/>
      <c r="AD81" s="58"/>
      <c r="AE81" s="55">
        <f t="shared" si="13"/>
        <v>2971.9</v>
      </c>
      <c r="AF81" s="16"/>
    </row>
    <row r="82" spans="1:32" ht="46.5" customHeight="1">
      <c r="A82" s="109"/>
      <c r="B82" s="89" t="s">
        <v>115</v>
      </c>
      <c r="C82" s="89" t="s">
        <v>60</v>
      </c>
      <c r="D82" s="90" t="s">
        <v>117</v>
      </c>
      <c r="E82" s="113"/>
      <c r="F82" s="113"/>
      <c r="G82" s="113"/>
      <c r="H82" s="113"/>
      <c r="I82" s="113"/>
      <c r="J82" s="112"/>
      <c r="K82" s="112"/>
      <c r="L82" s="112"/>
      <c r="M82" s="112"/>
      <c r="N82" s="112"/>
      <c r="O82" s="112"/>
      <c r="P82" s="112"/>
      <c r="Q82" s="112"/>
      <c r="R82" s="112"/>
      <c r="S82" s="112"/>
      <c r="T82" s="62">
        <f t="shared" si="14"/>
        <v>7550.27</v>
      </c>
      <c r="U82" s="53">
        <v>7550.27</v>
      </c>
      <c r="V82" s="53"/>
      <c r="W82" s="53"/>
      <c r="X82" s="53"/>
      <c r="Y82" s="54"/>
      <c r="Z82" s="42"/>
      <c r="AA82" s="58"/>
      <c r="AB82" s="58"/>
      <c r="AC82" s="58"/>
      <c r="AD82" s="58"/>
      <c r="AE82" s="55">
        <f t="shared" si="13"/>
        <v>7550.27</v>
      </c>
      <c r="AF82" s="16"/>
    </row>
    <row r="83" spans="1:32" ht="63.75" customHeight="1">
      <c r="A83" s="109"/>
      <c r="B83" s="89" t="s">
        <v>116</v>
      </c>
      <c r="C83" s="89" t="s">
        <v>60</v>
      </c>
      <c r="D83" s="90" t="s">
        <v>118</v>
      </c>
      <c r="E83" s="113"/>
      <c r="F83" s="113"/>
      <c r="G83" s="113"/>
      <c r="H83" s="113"/>
      <c r="I83" s="113"/>
      <c r="J83" s="112"/>
      <c r="K83" s="112"/>
      <c r="L83" s="112"/>
      <c r="M83" s="112"/>
      <c r="N83" s="112"/>
      <c r="O83" s="112"/>
      <c r="P83" s="112"/>
      <c r="Q83" s="112"/>
      <c r="R83" s="112"/>
      <c r="S83" s="112"/>
      <c r="T83" s="62">
        <f t="shared" si="14"/>
        <v>1034.9</v>
      </c>
      <c r="U83" s="53">
        <f>1062.72-27.82</f>
        <v>1034.9</v>
      </c>
      <c r="V83" s="53"/>
      <c r="W83" s="53"/>
      <c r="X83" s="53"/>
      <c r="Y83" s="54"/>
      <c r="Z83" s="42"/>
      <c r="AA83" s="58"/>
      <c r="AB83" s="58"/>
      <c r="AC83" s="58"/>
      <c r="AD83" s="58"/>
      <c r="AE83" s="55">
        <f t="shared" si="13"/>
        <v>1034.9</v>
      </c>
      <c r="AF83" s="16"/>
    </row>
    <row r="84" spans="1:32" ht="44.25" customHeight="1">
      <c r="A84" s="109"/>
      <c r="B84" s="89" t="s">
        <v>119</v>
      </c>
      <c r="C84" s="89" t="s">
        <v>60</v>
      </c>
      <c r="D84" s="90" t="s">
        <v>121</v>
      </c>
      <c r="E84" s="113"/>
      <c r="F84" s="113"/>
      <c r="G84" s="113"/>
      <c r="H84" s="113"/>
      <c r="I84" s="113"/>
      <c r="J84" s="112"/>
      <c r="K84" s="112"/>
      <c r="L84" s="112"/>
      <c r="M84" s="112"/>
      <c r="N84" s="112"/>
      <c r="O84" s="112"/>
      <c r="P84" s="112"/>
      <c r="Q84" s="112"/>
      <c r="R84" s="112"/>
      <c r="S84" s="112"/>
      <c r="T84" s="62">
        <f t="shared" si="14"/>
        <v>53.32</v>
      </c>
      <c r="U84" s="53">
        <f>25.5+27.82</f>
        <v>53.32</v>
      </c>
      <c r="V84" s="53"/>
      <c r="W84" s="53"/>
      <c r="X84" s="53"/>
      <c r="Y84" s="54"/>
      <c r="Z84" s="42"/>
      <c r="AA84" s="58"/>
      <c r="AB84" s="58"/>
      <c r="AC84" s="58"/>
      <c r="AD84" s="58"/>
      <c r="AE84" s="55">
        <f t="shared" si="13"/>
        <v>53.32</v>
      </c>
      <c r="AF84" s="16"/>
    </row>
    <row r="85" spans="1:32" ht="53.25" customHeight="1">
      <c r="A85" s="109"/>
      <c r="B85" s="89" t="s">
        <v>120</v>
      </c>
      <c r="C85" s="89" t="s">
        <v>60</v>
      </c>
      <c r="D85" s="90" t="s">
        <v>122</v>
      </c>
      <c r="E85" s="113"/>
      <c r="F85" s="113"/>
      <c r="G85" s="113"/>
      <c r="H85" s="113"/>
      <c r="I85" s="113"/>
      <c r="J85" s="112"/>
      <c r="K85" s="112"/>
      <c r="L85" s="112"/>
      <c r="M85" s="112"/>
      <c r="N85" s="112"/>
      <c r="O85" s="112"/>
      <c r="P85" s="112"/>
      <c r="Q85" s="112"/>
      <c r="R85" s="112"/>
      <c r="S85" s="112"/>
      <c r="T85" s="62">
        <f t="shared" si="14"/>
        <v>19283.4</v>
      </c>
      <c r="U85" s="53">
        <v>19283.4</v>
      </c>
      <c r="V85" s="53"/>
      <c r="W85" s="53"/>
      <c r="X85" s="53"/>
      <c r="Y85" s="54"/>
      <c r="Z85" s="42"/>
      <c r="AA85" s="58"/>
      <c r="AB85" s="58"/>
      <c r="AC85" s="58"/>
      <c r="AD85" s="58"/>
      <c r="AE85" s="55">
        <f t="shared" si="13"/>
        <v>19283.4</v>
      </c>
      <c r="AF85" s="16"/>
    </row>
    <row r="86" spans="1:32" ht="61.5" customHeight="1">
      <c r="A86" s="109"/>
      <c r="B86" s="89" t="s">
        <v>123</v>
      </c>
      <c r="C86" s="89" t="s">
        <v>58</v>
      </c>
      <c r="D86" s="90" t="s">
        <v>125</v>
      </c>
      <c r="E86" s="113"/>
      <c r="F86" s="113"/>
      <c r="G86" s="113"/>
      <c r="H86" s="113"/>
      <c r="I86" s="113"/>
      <c r="J86" s="112"/>
      <c r="K86" s="112"/>
      <c r="L86" s="112"/>
      <c r="M86" s="112"/>
      <c r="N86" s="112"/>
      <c r="O86" s="112"/>
      <c r="P86" s="112"/>
      <c r="Q86" s="112"/>
      <c r="R86" s="112"/>
      <c r="S86" s="112"/>
      <c r="T86" s="62">
        <f t="shared" si="14"/>
        <v>23105.5</v>
      </c>
      <c r="U86" s="53">
        <f>21205.5+1900</f>
        <v>23105.5</v>
      </c>
      <c r="V86" s="53"/>
      <c r="W86" s="53"/>
      <c r="X86" s="53"/>
      <c r="Y86" s="54"/>
      <c r="Z86" s="42"/>
      <c r="AA86" s="58"/>
      <c r="AB86" s="58"/>
      <c r="AC86" s="58"/>
      <c r="AD86" s="58"/>
      <c r="AE86" s="55">
        <f t="shared" si="13"/>
        <v>23105.5</v>
      </c>
      <c r="AF86" s="16"/>
    </row>
    <row r="87" spans="1:32" ht="83.25" customHeight="1">
      <c r="A87" s="109"/>
      <c r="B87" s="89" t="s">
        <v>124</v>
      </c>
      <c r="C87" s="89" t="s">
        <v>58</v>
      </c>
      <c r="D87" s="90" t="s">
        <v>126</v>
      </c>
      <c r="E87" s="113"/>
      <c r="F87" s="113"/>
      <c r="G87" s="113"/>
      <c r="H87" s="113"/>
      <c r="I87" s="113"/>
      <c r="J87" s="112"/>
      <c r="K87" s="112"/>
      <c r="L87" s="112"/>
      <c r="M87" s="112"/>
      <c r="N87" s="112"/>
      <c r="O87" s="112"/>
      <c r="P87" s="112"/>
      <c r="Q87" s="112"/>
      <c r="R87" s="112"/>
      <c r="S87" s="112"/>
      <c r="T87" s="72">
        <f t="shared" si="14"/>
        <v>1122.98</v>
      </c>
      <c r="U87" s="71">
        <v>1122.98</v>
      </c>
      <c r="V87" s="53"/>
      <c r="W87" s="53"/>
      <c r="X87" s="53"/>
      <c r="Y87" s="54"/>
      <c r="Z87" s="42"/>
      <c r="AA87" s="58"/>
      <c r="AB87" s="58"/>
      <c r="AC87" s="58"/>
      <c r="AD87" s="58"/>
      <c r="AE87" s="74">
        <f t="shared" si="13"/>
        <v>1122.98</v>
      </c>
      <c r="AF87" s="16"/>
    </row>
    <row r="88" spans="1:32" ht="35.25" customHeight="1">
      <c r="A88" s="109"/>
      <c r="B88" s="89" t="s">
        <v>127</v>
      </c>
      <c r="C88" s="89" t="s">
        <v>59</v>
      </c>
      <c r="D88" s="90" t="s">
        <v>129</v>
      </c>
      <c r="E88" s="113"/>
      <c r="F88" s="113"/>
      <c r="G88" s="113"/>
      <c r="H88" s="113"/>
      <c r="I88" s="113"/>
      <c r="J88" s="112"/>
      <c r="K88" s="112"/>
      <c r="L88" s="112"/>
      <c r="M88" s="112"/>
      <c r="N88" s="112"/>
      <c r="O88" s="112"/>
      <c r="P88" s="112"/>
      <c r="Q88" s="112"/>
      <c r="R88" s="112"/>
      <c r="S88" s="112"/>
      <c r="T88" s="62">
        <f t="shared" si="14"/>
        <v>48.74</v>
      </c>
      <c r="U88" s="53">
        <f>36.44+1.728+0.072+10.5</f>
        <v>48.74</v>
      </c>
      <c r="V88" s="53"/>
      <c r="W88" s="53"/>
      <c r="X88" s="53"/>
      <c r="Y88" s="54"/>
      <c r="Z88" s="42"/>
      <c r="AA88" s="58"/>
      <c r="AB88" s="58"/>
      <c r="AC88" s="58"/>
      <c r="AD88" s="58"/>
      <c r="AE88" s="55">
        <f>T88+Y88</f>
        <v>48.74</v>
      </c>
      <c r="AF88" s="16"/>
    </row>
    <row r="89" spans="1:32" ht="43.5" customHeight="1">
      <c r="A89" s="109"/>
      <c r="B89" s="89" t="s">
        <v>128</v>
      </c>
      <c r="C89" s="89" t="s">
        <v>63</v>
      </c>
      <c r="D89" s="95" t="s">
        <v>130</v>
      </c>
      <c r="E89" s="113"/>
      <c r="F89" s="113"/>
      <c r="G89" s="113"/>
      <c r="H89" s="113"/>
      <c r="I89" s="113"/>
      <c r="J89" s="112"/>
      <c r="K89" s="112"/>
      <c r="L89" s="112"/>
      <c r="M89" s="112"/>
      <c r="N89" s="112"/>
      <c r="O89" s="112"/>
      <c r="P89" s="112"/>
      <c r="Q89" s="112"/>
      <c r="R89" s="112"/>
      <c r="S89" s="112"/>
      <c r="T89" s="62">
        <f t="shared" si="14"/>
        <v>105.6</v>
      </c>
      <c r="U89" s="53">
        <f>23.8+84.6-2.8</f>
        <v>105.6</v>
      </c>
      <c r="V89" s="53"/>
      <c r="W89" s="53"/>
      <c r="X89" s="53"/>
      <c r="Y89" s="54"/>
      <c r="Z89" s="42"/>
      <c r="AA89" s="58"/>
      <c r="AB89" s="58"/>
      <c r="AC89" s="58"/>
      <c r="AD89" s="58"/>
      <c r="AE89" s="55">
        <f>T89+Y89</f>
        <v>105.6</v>
      </c>
      <c r="AF89" s="16"/>
    </row>
    <row r="90" spans="1:32" ht="58.5" customHeight="1">
      <c r="A90" s="109"/>
      <c r="B90" s="89" t="s">
        <v>131</v>
      </c>
      <c r="C90" s="89" t="s">
        <v>63</v>
      </c>
      <c r="D90" s="90" t="s">
        <v>133</v>
      </c>
      <c r="E90" s="113"/>
      <c r="F90" s="113"/>
      <c r="G90" s="113"/>
      <c r="H90" s="113"/>
      <c r="I90" s="113"/>
      <c r="J90" s="112"/>
      <c r="K90" s="112"/>
      <c r="L90" s="112"/>
      <c r="M90" s="112"/>
      <c r="N90" s="112"/>
      <c r="O90" s="112"/>
      <c r="P90" s="112"/>
      <c r="Q90" s="112"/>
      <c r="R90" s="112"/>
      <c r="S90" s="112"/>
      <c r="T90" s="62">
        <f t="shared" si="14"/>
        <v>19</v>
      </c>
      <c r="U90" s="53">
        <v>19</v>
      </c>
      <c r="V90" s="53"/>
      <c r="W90" s="53"/>
      <c r="X90" s="53"/>
      <c r="Y90" s="54"/>
      <c r="Z90" s="42"/>
      <c r="AA90" s="58"/>
      <c r="AB90" s="58"/>
      <c r="AC90" s="58"/>
      <c r="AD90" s="58"/>
      <c r="AE90" s="55">
        <f>U90+Y90</f>
        <v>19</v>
      </c>
      <c r="AF90" s="16"/>
    </row>
    <row r="91" spans="1:32" ht="62.25" customHeight="1">
      <c r="A91" s="109"/>
      <c r="B91" s="89" t="s">
        <v>132</v>
      </c>
      <c r="C91" s="89" t="s">
        <v>61</v>
      </c>
      <c r="D91" s="90" t="s">
        <v>158</v>
      </c>
      <c r="E91" s="113"/>
      <c r="F91" s="113"/>
      <c r="G91" s="113"/>
      <c r="H91" s="113"/>
      <c r="I91" s="113"/>
      <c r="J91" s="112"/>
      <c r="K91" s="112"/>
      <c r="L91" s="112"/>
      <c r="M91" s="112"/>
      <c r="N91" s="112"/>
      <c r="O91" s="112"/>
      <c r="P91" s="112"/>
      <c r="Q91" s="112"/>
      <c r="R91" s="112"/>
      <c r="S91" s="112"/>
      <c r="T91" s="62">
        <f t="shared" si="14"/>
        <v>648.755</v>
      </c>
      <c r="U91" s="53">
        <v>648.755</v>
      </c>
      <c r="V91" s="53"/>
      <c r="W91" s="53"/>
      <c r="X91" s="53"/>
      <c r="Y91" s="54"/>
      <c r="Z91" s="42"/>
      <c r="AA91" s="58"/>
      <c r="AB91" s="58"/>
      <c r="AC91" s="58"/>
      <c r="AD91" s="58"/>
      <c r="AE91" s="55">
        <f>U91+Y91</f>
        <v>648.755</v>
      </c>
      <c r="AF91" s="16"/>
    </row>
    <row r="92" spans="1:32" ht="42" customHeight="1">
      <c r="A92" s="109"/>
      <c r="B92" s="89" t="s">
        <v>31</v>
      </c>
      <c r="C92" s="89" t="s">
        <v>60</v>
      </c>
      <c r="D92" s="95" t="s">
        <v>134</v>
      </c>
      <c r="E92" s="113"/>
      <c r="F92" s="113"/>
      <c r="G92" s="113"/>
      <c r="H92" s="113"/>
      <c r="I92" s="113"/>
      <c r="J92" s="112"/>
      <c r="K92" s="112"/>
      <c r="L92" s="112"/>
      <c r="M92" s="112"/>
      <c r="N92" s="112"/>
      <c r="O92" s="112"/>
      <c r="P92" s="112"/>
      <c r="Q92" s="112"/>
      <c r="R92" s="112"/>
      <c r="S92" s="112"/>
      <c r="T92" s="53">
        <f>U92+X92</f>
        <v>139.70000000000002</v>
      </c>
      <c r="U92" s="53">
        <f>132+5.8+1.9</f>
        <v>139.70000000000002</v>
      </c>
      <c r="V92" s="53">
        <f>93.01+4.8</f>
        <v>97.81</v>
      </c>
      <c r="W92" s="53">
        <v>13.5</v>
      </c>
      <c r="X92" s="53"/>
      <c r="Y92" s="54"/>
      <c r="Z92" s="42"/>
      <c r="AA92" s="58"/>
      <c r="AB92" s="58"/>
      <c r="AC92" s="58"/>
      <c r="AD92" s="58"/>
      <c r="AE92" s="55">
        <f>T92+Y92</f>
        <v>139.70000000000002</v>
      </c>
      <c r="AF92" s="16"/>
    </row>
    <row r="93" spans="1:32" ht="54.75" customHeight="1">
      <c r="A93" s="109"/>
      <c r="B93" s="89" t="s">
        <v>135</v>
      </c>
      <c r="C93" s="89" t="s">
        <v>62</v>
      </c>
      <c r="D93" s="90" t="s">
        <v>137</v>
      </c>
      <c r="E93" s="113"/>
      <c r="F93" s="113"/>
      <c r="G93" s="113"/>
      <c r="H93" s="113"/>
      <c r="I93" s="113"/>
      <c r="J93" s="112"/>
      <c r="K93" s="112"/>
      <c r="L93" s="112"/>
      <c r="M93" s="112"/>
      <c r="N93" s="112"/>
      <c r="O93" s="112"/>
      <c r="P93" s="112"/>
      <c r="Q93" s="112"/>
      <c r="R93" s="112"/>
      <c r="S93" s="112"/>
      <c r="T93" s="53">
        <f aca="true" t="shared" si="15" ref="T93:T101">U93+X93</f>
        <v>4005.7</v>
      </c>
      <c r="U93" s="53">
        <f>3958.1+27.6+20</f>
        <v>4005.7</v>
      </c>
      <c r="V93" s="53">
        <v>2750.1</v>
      </c>
      <c r="W93" s="53">
        <v>202.4</v>
      </c>
      <c r="X93" s="53"/>
      <c r="Y93" s="54">
        <f>Z93+AC93</f>
        <v>230.001</v>
      </c>
      <c r="Z93" s="60">
        <v>230.001</v>
      </c>
      <c r="AA93" s="63">
        <v>24</v>
      </c>
      <c r="AB93" s="58"/>
      <c r="AC93" s="58"/>
      <c r="AD93" s="58"/>
      <c r="AE93" s="55">
        <f>T93+Y93</f>
        <v>4235.701</v>
      </c>
      <c r="AF93" s="16"/>
    </row>
    <row r="94" spans="1:32" ht="106.5" customHeight="1">
      <c r="A94" s="109"/>
      <c r="B94" s="89" t="s">
        <v>136</v>
      </c>
      <c r="C94" s="89" t="s">
        <v>61</v>
      </c>
      <c r="D94" s="90" t="s">
        <v>138</v>
      </c>
      <c r="E94" s="113"/>
      <c r="F94" s="113"/>
      <c r="G94" s="113"/>
      <c r="H94" s="113"/>
      <c r="I94" s="113"/>
      <c r="J94" s="112"/>
      <c r="K94" s="112"/>
      <c r="L94" s="112"/>
      <c r="M94" s="112"/>
      <c r="N94" s="112"/>
      <c r="O94" s="112"/>
      <c r="P94" s="112"/>
      <c r="Q94" s="112"/>
      <c r="R94" s="112"/>
      <c r="S94" s="112"/>
      <c r="T94" s="53">
        <f t="shared" si="15"/>
        <v>198.8</v>
      </c>
      <c r="U94" s="53">
        <f>196+2.8</f>
        <v>198.8</v>
      </c>
      <c r="V94" s="53"/>
      <c r="W94" s="53"/>
      <c r="X94" s="53"/>
      <c r="Y94" s="54"/>
      <c r="Z94" s="42"/>
      <c r="AA94" s="58"/>
      <c r="AB94" s="58"/>
      <c r="AC94" s="58"/>
      <c r="AD94" s="58"/>
      <c r="AE94" s="55">
        <f>T94+Y94</f>
        <v>198.8</v>
      </c>
      <c r="AF94" s="16"/>
    </row>
    <row r="95" spans="1:32" ht="61.5" customHeight="1">
      <c r="A95" s="109"/>
      <c r="B95" s="89" t="s">
        <v>139</v>
      </c>
      <c r="C95" s="89" t="s">
        <v>61</v>
      </c>
      <c r="D95" s="90" t="s">
        <v>145</v>
      </c>
      <c r="E95" s="113"/>
      <c r="F95" s="113"/>
      <c r="G95" s="113"/>
      <c r="H95" s="113"/>
      <c r="I95" s="113"/>
      <c r="J95" s="112"/>
      <c r="K95" s="112"/>
      <c r="L95" s="112"/>
      <c r="M95" s="112"/>
      <c r="N95" s="112"/>
      <c r="O95" s="112"/>
      <c r="P95" s="112"/>
      <c r="Q95" s="112"/>
      <c r="R95" s="112"/>
      <c r="S95" s="112"/>
      <c r="T95" s="53">
        <f t="shared" si="15"/>
        <v>349.8</v>
      </c>
      <c r="U95" s="53">
        <f>345.5+4.3</f>
        <v>349.8</v>
      </c>
      <c r="V95" s="53">
        <v>215.91</v>
      </c>
      <c r="W95" s="53">
        <v>13.4</v>
      </c>
      <c r="X95" s="53"/>
      <c r="Y95" s="54"/>
      <c r="Z95" s="42"/>
      <c r="AA95" s="58"/>
      <c r="AB95" s="58"/>
      <c r="AC95" s="58"/>
      <c r="AD95" s="58"/>
      <c r="AE95" s="55">
        <f>T95+Y95</f>
        <v>349.8</v>
      </c>
      <c r="AF95" s="16"/>
    </row>
    <row r="96" spans="1:32" ht="63" customHeight="1">
      <c r="A96" s="109"/>
      <c r="B96" s="89" t="s">
        <v>30</v>
      </c>
      <c r="C96" s="89" t="s">
        <v>63</v>
      </c>
      <c r="D96" s="90" t="s">
        <v>140</v>
      </c>
      <c r="E96" s="113"/>
      <c r="F96" s="113"/>
      <c r="G96" s="113"/>
      <c r="H96" s="113"/>
      <c r="I96" s="113"/>
      <c r="J96" s="112"/>
      <c r="K96" s="112"/>
      <c r="L96" s="112"/>
      <c r="M96" s="112"/>
      <c r="N96" s="112"/>
      <c r="O96" s="112"/>
      <c r="P96" s="112"/>
      <c r="Q96" s="112"/>
      <c r="R96" s="112"/>
      <c r="S96" s="112"/>
      <c r="T96" s="53">
        <f t="shared" si="15"/>
        <v>60.75</v>
      </c>
      <c r="U96" s="53">
        <f>60+0.75</f>
        <v>60.75</v>
      </c>
      <c r="V96" s="53"/>
      <c r="W96" s="53"/>
      <c r="X96" s="53"/>
      <c r="Y96" s="54"/>
      <c r="Z96" s="42"/>
      <c r="AA96" s="58"/>
      <c r="AB96" s="58"/>
      <c r="AC96" s="58"/>
      <c r="AD96" s="58"/>
      <c r="AE96" s="55">
        <f>T96+Y96</f>
        <v>60.75</v>
      </c>
      <c r="AF96" s="16"/>
    </row>
    <row r="97" spans="1:32" ht="72.75" customHeight="1">
      <c r="A97" s="109"/>
      <c r="B97" s="89" t="s">
        <v>142</v>
      </c>
      <c r="C97" s="89" t="s">
        <v>61</v>
      </c>
      <c r="D97" s="90" t="s">
        <v>141</v>
      </c>
      <c r="E97" s="113"/>
      <c r="F97" s="113"/>
      <c r="G97" s="113"/>
      <c r="H97" s="113"/>
      <c r="I97" s="113"/>
      <c r="J97" s="112"/>
      <c r="K97" s="112"/>
      <c r="L97" s="112"/>
      <c r="M97" s="112"/>
      <c r="N97" s="112"/>
      <c r="O97" s="112"/>
      <c r="P97" s="112"/>
      <c r="Q97" s="112"/>
      <c r="R97" s="112"/>
      <c r="S97" s="112"/>
      <c r="T97" s="53">
        <f t="shared" si="15"/>
        <v>6920.05</v>
      </c>
      <c r="U97" s="53">
        <v>6920.05</v>
      </c>
      <c r="V97" s="53"/>
      <c r="W97" s="53"/>
      <c r="X97" s="53"/>
      <c r="Y97" s="54"/>
      <c r="Z97" s="42"/>
      <c r="AA97" s="58"/>
      <c r="AB97" s="58"/>
      <c r="AC97" s="58"/>
      <c r="AD97" s="58"/>
      <c r="AE97" s="55">
        <f>U97+Y97</f>
        <v>6920.05</v>
      </c>
      <c r="AF97" s="16"/>
    </row>
    <row r="98" spans="1:32" ht="93" customHeight="1">
      <c r="A98" s="109"/>
      <c r="B98" s="89" t="s">
        <v>143</v>
      </c>
      <c r="C98" s="89" t="s">
        <v>61</v>
      </c>
      <c r="D98" s="90" t="s">
        <v>144</v>
      </c>
      <c r="E98" s="113"/>
      <c r="F98" s="113"/>
      <c r="G98" s="113"/>
      <c r="H98" s="113"/>
      <c r="I98" s="113"/>
      <c r="J98" s="112"/>
      <c r="K98" s="112"/>
      <c r="L98" s="112"/>
      <c r="M98" s="112"/>
      <c r="N98" s="112"/>
      <c r="O98" s="112"/>
      <c r="P98" s="112"/>
      <c r="Q98" s="112"/>
      <c r="R98" s="112"/>
      <c r="S98" s="112"/>
      <c r="T98" s="53">
        <f t="shared" si="15"/>
        <v>13.2</v>
      </c>
      <c r="U98" s="53">
        <v>13.2</v>
      </c>
      <c r="V98" s="53"/>
      <c r="W98" s="53"/>
      <c r="X98" s="53"/>
      <c r="Y98" s="54"/>
      <c r="Z98" s="42"/>
      <c r="AA98" s="58"/>
      <c r="AB98" s="58"/>
      <c r="AC98" s="58"/>
      <c r="AD98" s="58"/>
      <c r="AE98" s="55">
        <f>U98+Y98</f>
        <v>13.2</v>
      </c>
      <c r="AF98" s="16"/>
    </row>
    <row r="99" spans="1:32" ht="63.75" customHeight="1">
      <c r="A99" s="109"/>
      <c r="B99" s="89" t="s">
        <v>146</v>
      </c>
      <c r="C99" s="89" t="s">
        <v>61</v>
      </c>
      <c r="D99" s="90" t="s">
        <v>147</v>
      </c>
      <c r="E99" s="113"/>
      <c r="F99" s="113"/>
      <c r="G99" s="113"/>
      <c r="H99" s="113"/>
      <c r="I99" s="113"/>
      <c r="J99" s="112"/>
      <c r="K99" s="112"/>
      <c r="L99" s="112"/>
      <c r="M99" s="112"/>
      <c r="N99" s="112"/>
      <c r="O99" s="112"/>
      <c r="P99" s="112"/>
      <c r="Q99" s="112"/>
      <c r="R99" s="112"/>
      <c r="S99" s="112"/>
      <c r="T99" s="53">
        <f t="shared" si="15"/>
        <v>0.3</v>
      </c>
      <c r="U99" s="53">
        <v>0.3</v>
      </c>
      <c r="V99" s="53"/>
      <c r="W99" s="53"/>
      <c r="X99" s="53"/>
      <c r="Y99" s="54"/>
      <c r="Z99" s="42"/>
      <c r="AA99" s="58"/>
      <c r="AB99" s="58"/>
      <c r="AC99" s="58"/>
      <c r="AD99" s="58"/>
      <c r="AE99" s="55">
        <f>U99+Y99</f>
        <v>0.3</v>
      </c>
      <c r="AF99" s="16"/>
    </row>
    <row r="100" spans="1:32" ht="51.75" customHeight="1">
      <c r="A100" s="109"/>
      <c r="B100" s="89" t="s">
        <v>148</v>
      </c>
      <c r="C100" s="89" t="s">
        <v>155</v>
      </c>
      <c r="D100" s="90" t="s">
        <v>166</v>
      </c>
      <c r="E100" s="113"/>
      <c r="F100" s="113"/>
      <c r="G100" s="113"/>
      <c r="H100" s="113"/>
      <c r="I100" s="113"/>
      <c r="J100" s="112"/>
      <c r="K100" s="112"/>
      <c r="L100" s="112"/>
      <c r="M100" s="112"/>
      <c r="N100" s="112"/>
      <c r="O100" s="112"/>
      <c r="P100" s="112"/>
      <c r="Q100" s="112"/>
      <c r="R100" s="112"/>
      <c r="S100" s="112"/>
      <c r="T100" s="53">
        <f t="shared" si="15"/>
        <v>714.2</v>
      </c>
      <c r="U100" s="53">
        <v>714.2</v>
      </c>
      <c r="V100" s="53"/>
      <c r="W100" s="53"/>
      <c r="X100" s="53"/>
      <c r="Y100" s="54"/>
      <c r="Z100" s="42"/>
      <c r="AA100" s="58"/>
      <c r="AB100" s="58"/>
      <c r="AC100" s="58"/>
      <c r="AD100" s="58"/>
      <c r="AE100" s="55">
        <f>T100+Y100</f>
        <v>714.2</v>
      </c>
      <c r="AF100" s="16"/>
    </row>
    <row r="101" spans="1:32" ht="66" customHeight="1">
      <c r="A101" s="109"/>
      <c r="B101" s="89" t="s">
        <v>181</v>
      </c>
      <c r="C101" s="89" t="s">
        <v>154</v>
      </c>
      <c r="D101" s="90" t="s">
        <v>182</v>
      </c>
      <c r="E101" s="113"/>
      <c r="F101" s="113"/>
      <c r="G101" s="113"/>
      <c r="H101" s="113"/>
      <c r="I101" s="113"/>
      <c r="J101" s="112"/>
      <c r="K101" s="112"/>
      <c r="L101" s="112"/>
      <c r="M101" s="112"/>
      <c r="N101" s="112"/>
      <c r="O101" s="112"/>
      <c r="P101" s="112"/>
      <c r="Q101" s="112"/>
      <c r="R101" s="112"/>
      <c r="S101" s="112"/>
      <c r="T101" s="53">
        <f t="shared" si="15"/>
        <v>150.844</v>
      </c>
      <c r="U101" s="53">
        <f>44+55.844+51</f>
        <v>150.844</v>
      </c>
      <c r="V101" s="53"/>
      <c r="W101" s="53"/>
      <c r="X101" s="53"/>
      <c r="Y101" s="54"/>
      <c r="Z101" s="42"/>
      <c r="AA101" s="58"/>
      <c r="AB101" s="58"/>
      <c r="AC101" s="58"/>
      <c r="AD101" s="58"/>
      <c r="AE101" s="55">
        <f>T101+Y101</f>
        <v>150.844</v>
      </c>
      <c r="AF101" s="16"/>
    </row>
    <row r="102" spans="1:34" ht="21" customHeight="1">
      <c r="A102" s="109"/>
      <c r="B102" s="103"/>
      <c r="C102" s="103"/>
      <c r="D102" s="70" t="s">
        <v>27</v>
      </c>
      <c r="E102" s="92" t="e">
        <f aca="true" t="shared" si="16" ref="E102:J102">E33+E63+E67</f>
        <v>#REF!</v>
      </c>
      <c r="F102" s="92" t="e">
        <f t="shared" si="16"/>
        <v>#REF!</v>
      </c>
      <c r="G102" s="70" t="e">
        <f t="shared" si="16"/>
        <v>#REF!</v>
      </c>
      <c r="H102" s="70" t="e">
        <f t="shared" si="16"/>
        <v>#REF!</v>
      </c>
      <c r="I102" s="70" t="e">
        <f t="shared" si="16"/>
        <v>#REF!</v>
      </c>
      <c r="J102" s="70">
        <f t="shared" si="16"/>
        <v>0</v>
      </c>
      <c r="K102" s="70"/>
      <c r="L102" s="70" t="e">
        <f>L33+L63+L67</f>
        <v>#REF!</v>
      </c>
      <c r="M102" s="70" t="e">
        <f>M33+M63+M67</f>
        <v>#REF!</v>
      </c>
      <c r="N102" s="70"/>
      <c r="O102" s="70" t="e">
        <f>O33+O63+O67</f>
        <v>#REF!</v>
      </c>
      <c r="P102" s="70"/>
      <c r="Q102" s="70" t="e">
        <f>Q33+Q63+Q67</f>
        <v>#REF!</v>
      </c>
      <c r="R102" s="70" t="e">
        <f>R33+R63+R67</f>
        <v>#REF!</v>
      </c>
      <c r="S102" s="70"/>
      <c r="T102" s="49">
        <f>U102+X102</f>
        <v>98000.964</v>
      </c>
      <c r="U102" s="49">
        <f>U100+U56+U101</f>
        <v>98000.964</v>
      </c>
      <c r="V102" s="49">
        <f aca="true" t="shared" si="17" ref="V102:AD102">V100+V56</f>
        <v>3063.8199999999997</v>
      </c>
      <c r="W102" s="49">
        <f t="shared" si="17"/>
        <v>229.3</v>
      </c>
      <c r="X102" s="49">
        <f t="shared" si="17"/>
        <v>0</v>
      </c>
      <c r="Y102" s="49">
        <f t="shared" si="17"/>
        <v>230.001</v>
      </c>
      <c r="Z102" s="49">
        <f t="shared" si="17"/>
        <v>230.001</v>
      </c>
      <c r="AA102" s="49">
        <f t="shared" si="17"/>
        <v>24</v>
      </c>
      <c r="AB102" s="49">
        <f t="shared" si="17"/>
        <v>0</v>
      </c>
      <c r="AC102" s="49">
        <f t="shared" si="17"/>
        <v>0</v>
      </c>
      <c r="AD102" s="49">
        <f t="shared" si="17"/>
        <v>0</v>
      </c>
      <c r="AE102" s="49">
        <f>AE100+AE56+AE101</f>
        <v>98230.96500000001</v>
      </c>
      <c r="AF102" s="19"/>
      <c r="AG102" s="7"/>
      <c r="AH102" s="7"/>
    </row>
    <row r="103" spans="1:34" ht="21" customHeight="1">
      <c r="A103" s="109"/>
      <c r="B103" s="103"/>
      <c r="C103" s="103"/>
      <c r="D103" s="114" t="s">
        <v>149</v>
      </c>
      <c r="E103" s="92"/>
      <c r="F103" s="92"/>
      <c r="G103" s="70"/>
      <c r="H103" s="70"/>
      <c r="I103" s="70"/>
      <c r="J103" s="70"/>
      <c r="K103" s="70"/>
      <c r="L103" s="70"/>
      <c r="M103" s="70"/>
      <c r="N103" s="70"/>
      <c r="O103" s="70"/>
      <c r="P103" s="70"/>
      <c r="Q103" s="70"/>
      <c r="R103" s="70"/>
      <c r="S103" s="70"/>
      <c r="T103" s="49"/>
      <c r="U103" s="49"/>
      <c r="V103" s="49"/>
      <c r="W103" s="49"/>
      <c r="X103" s="49"/>
      <c r="Y103" s="49"/>
      <c r="Z103" s="49"/>
      <c r="AA103" s="49"/>
      <c r="AB103" s="49"/>
      <c r="AC103" s="49"/>
      <c r="AD103" s="49"/>
      <c r="AE103" s="55"/>
      <c r="AF103" s="19"/>
      <c r="AG103" s="7"/>
      <c r="AH103" s="7"/>
    </row>
    <row r="104" spans="1:34" ht="21" customHeight="1">
      <c r="A104" s="109"/>
      <c r="B104" s="115" t="s">
        <v>33</v>
      </c>
      <c r="C104" s="51"/>
      <c r="D104" s="107" t="s">
        <v>6</v>
      </c>
      <c r="E104" s="92"/>
      <c r="F104" s="92"/>
      <c r="G104" s="70"/>
      <c r="H104" s="70"/>
      <c r="I104" s="70"/>
      <c r="J104" s="70"/>
      <c r="K104" s="70"/>
      <c r="L104" s="70"/>
      <c r="M104" s="70"/>
      <c r="N104" s="70"/>
      <c r="O104" s="70"/>
      <c r="P104" s="70"/>
      <c r="Q104" s="70"/>
      <c r="R104" s="70"/>
      <c r="S104" s="70"/>
      <c r="T104" s="64">
        <f aca="true" t="shared" si="18" ref="T104:T112">U104+X104</f>
        <v>4246.522</v>
      </c>
      <c r="U104" s="64">
        <f>U105+U106+U107+U108+U109</f>
        <v>4246.522</v>
      </c>
      <c r="V104" s="64">
        <f aca="true" t="shared" si="19" ref="V104:AE104">V105+V106+V107+V108+V109</f>
        <v>2958.81</v>
      </c>
      <c r="W104" s="64">
        <f t="shared" si="19"/>
        <v>414.20000000000005</v>
      </c>
      <c r="X104" s="65"/>
      <c r="Y104" s="64">
        <f t="shared" si="19"/>
        <v>56.1</v>
      </c>
      <c r="Z104" s="64">
        <f t="shared" si="19"/>
        <v>56.1</v>
      </c>
      <c r="AA104" s="64">
        <f t="shared" si="19"/>
        <v>40.17</v>
      </c>
      <c r="AB104" s="64">
        <f t="shared" si="19"/>
        <v>0</v>
      </c>
      <c r="AC104" s="64"/>
      <c r="AD104" s="64">
        <f t="shared" si="19"/>
        <v>0</v>
      </c>
      <c r="AE104" s="64">
        <f t="shared" si="19"/>
        <v>4302.622</v>
      </c>
      <c r="AF104" s="19"/>
      <c r="AG104" s="7"/>
      <c r="AH104" s="7"/>
    </row>
    <row r="105" spans="1:32" ht="24" customHeight="1">
      <c r="A105" s="109"/>
      <c r="B105" s="116" t="s">
        <v>12</v>
      </c>
      <c r="C105" s="116" t="s">
        <v>65</v>
      </c>
      <c r="D105" s="117" t="s">
        <v>7</v>
      </c>
      <c r="E105" s="104">
        <f>F105</f>
        <v>714.8</v>
      </c>
      <c r="F105" s="118">
        <v>714.8</v>
      </c>
      <c r="G105" s="118">
        <v>447.4</v>
      </c>
      <c r="H105" s="118">
        <v>55.2</v>
      </c>
      <c r="I105" s="118"/>
      <c r="J105" s="117"/>
      <c r="K105" s="117"/>
      <c r="L105" s="117"/>
      <c r="M105" s="117"/>
      <c r="N105" s="117"/>
      <c r="O105" s="117"/>
      <c r="P105" s="117"/>
      <c r="Q105" s="117"/>
      <c r="R105" s="117"/>
      <c r="S105" s="117"/>
      <c r="T105" s="64">
        <f t="shared" si="18"/>
        <v>1719.5</v>
      </c>
      <c r="U105" s="53">
        <f>1694.2+25.3</f>
        <v>1719.5</v>
      </c>
      <c r="V105" s="53">
        <v>1265.75</v>
      </c>
      <c r="W105" s="59">
        <v>156.9</v>
      </c>
      <c r="X105" s="59"/>
      <c r="Y105" s="66">
        <f>Z105+AC105</f>
        <v>0</v>
      </c>
      <c r="Z105" s="66"/>
      <c r="AA105" s="67"/>
      <c r="AB105" s="67"/>
      <c r="AC105" s="67"/>
      <c r="AD105" s="67"/>
      <c r="AE105" s="55">
        <f aca="true" t="shared" si="20" ref="AE105:AE116">T105+Y105</f>
        <v>1719.5</v>
      </c>
      <c r="AF105" s="27"/>
    </row>
    <row r="106" spans="1:32" ht="24" customHeight="1">
      <c r="A106" s="109"/>
      <c r="B106" s="93" t="s">
        <v>34</v>
      </c>
      <c r="C106" s="93" t="s">
        <v>65</v>
      </c>
      <c r="D106" s="77" t="s">
        <v>8</v>
      </c>
      <c r="E106" s="104"/>
      <c r="F106" s="118"/>
      <c r="G106" s="118"/>
      <c r="H106" s="118"/>
      <c r="I106" s="118"/>
      <c r="J106" s="117"/>
      <c r="K106" s="117"/>
      <c r="L106" s="117"/>
      <c r="M106" s="117"/>
      <c r="N106" s="117"/>
      <c r="O106" s="117"/>
      <c r="P106" s="117"/>
      <c r="Q106" s="117"/>
      <c r="R106" s="117"/>
      <c r="S106" s="117"/>
      <c r="T106" s="64">
        <f t="shared" si="18"/>
        <v>404.40000000000003</v>
      </c>
      <c r="U106" s="53">
        <f>402.7+5.6-3.9</f>
        <v>404.40000000000003</v>
      </c>
      <c r="V106" s="53">
        <f>279.03-4.8</f>
        <v>274.22999999999996</v>
      </c>
      <c r="W106" s="59">
        <v>64.5</v>
      </c>
      <c r="X106" s="59"/>
      <c r="Y106" s="66"/>
      <c r="Z106" s="66"/>
      <c r="AA106" s="67"/>
      <c r="AB106" s="67"/>
      <c r="AC106" s="67"/>
      <c r="AD106" s="67"/>
      <c r="AE106" s="55">
        <f t="shared" si="20"/>
        <v>404.40000000000003</v>
      </c>
      <c r="AF106" s="27"/>
    </row>
    <row r="107" spans="1:32" ht="40.5" customHeight="1">
      <c r="A107" s="109"/>
      <c r="B107" s="89" t="s">
        <v>35</v>
      </c>
      <c r="C107" s="89" t="s">
        <v>66</v>
      </c>
      <c r="D107" s="77" t="s">
        <v>21</v>
      </c>
      <c r="E107" s="104"/>
      <c r="F107" s="118"/>
      <c r="G107" s="118"/>
      <c r="H107" s="118"/>
      <c r="I107" s="118"/>
      <c r="J107" s="117"/>
      <c r="K107" s="117"/>
      <c r="L107" s="117"/>
      <c r="M107" s="117"/>
      <c r="N107" s="117"/>
      <c r="O107" s="117"/>
      <c r="P107" s="117"/>
      <c r="Q107" s="117"/>
      <c r="R107" s="117"/>
      <c r="S107" s="117"/>
      <c r="T107" s="69">
        <f t="shared" si="18"/>
        <v>895.4</v>
      </c>
      <c r="U107" s="53">
        <f>873.1+12.3+10</f>
        <v>895.4</v>
      </c>
      <c r="V107" s="53">
        <v>614.39</v>
      </c>
      <c r="W107" s="59">
        <v>121.7</v>
      </c>
      <c r="X107" s="59"/>
      <c r="Y107" s="60">
        <f>Z107+AC107</f>
        <v>6</v>
      </c>
      <c r="Z107" s="60">
        <v>6</v>
      </c>
      <c r="AA107" s="67"/>
      <c r="AB107" s="67"/>
      <c r="AC107" s="67"/>
      <c r="AD107" s="67"/>
      <c r="AE107" s="55">
        <f t="shared" si="20"/>
        <v>901.4</v>
      </c>
      <c r="AF107" s="27"/>
    </row>
    <row r="108" spans="1:32" ht="24" customHeight="1">
      <c r="A108" s="109"/>
      <c r="B108" s="116" t="s">
        <v>150</v>
      </c>
      <c r="C108" s="116" t="s">
        <v>68</v>
      </c>
      <c r="D108" s="90" t="s">
        <v>151</v>
      </c>
      <c r="E108" s="104"/>
      <c r="F108" s="118"/>
      <c r="G108" s="118"/>
      <c r="H108" s="118"/>
      <c r="I108" s="118"/>
      <c r="J108" s="117"/>
      <c r="K108" s="117"/>
      <c r="L108" s="117"/>
      <c r="M108" s="117"/>
      <c r="N108" s="117"/>
      <c r="O108" s="117"/>
      <c r="P108" s="117"/>
      <c r="Q108" s="117"/>
      <c r="R108" s="117"/>
      <c r="S108" s="117"/>
      <c r="T108" s="64">
        <f t="shared" si="18"/>
        <v>828.5</v>
      </c>
      <c r="U108" s="53">
        <f>815.8+12.7</f>
        <v>828.5</v>
      </c>
      <c r="V108" s="53">
        <v>640.04</v>
      </c>
      <c r="W108" s="59">
        <v>44.1</v>
      </c>
      <c r="X108" s="59"/>
      <c r="Y108" s="66">
        <f>Z108+AC108</f>
        <v>48.2</v>
      </c>
      <c r="Z108" s="66">
        <v>48.2</v>
      </c>
      <c r="AA108" s="67">
        <v>40.17</v>
      </c>
      <c r="AB108" s="67"/>
      <c r="AC108" s="67"/>
      <c r="AD108" s="67"/>
      <c r="AE108" s="55">
        <f t="shared" si="20"/>
        <v>876.7</v>
      </c>
      <c r="AF108" s="27"/>
    </row>
    <row r="109" spans="1:32" ht="24" customHeight="1">
      <c r="A109" s="109"/>
      <c r="B109" s="89" t="s">
        <v>36</v>
      </c>
      <c r="C109" s="89" t="s">
        <v>57</v>
      </c>
      <c r="D109" s="77" t="s">
        <v>9</v>
      </c>
      <c r="E109" s="104"/>
      <c r="F109" s="118"/>
      <c r="G109" s="118"/>
      <c r="H109" s="118"/>
      <c r="I109" s="118"/>
      <c r="J109" s="117"/>
      <c r="K109" s="117"/>
      <c r="L109" s="117"/>
      <c r="M109" s="117"/>
      <c r="N109" s="117"/>
      <c r="O109" s="117"/>
      <c r="P109" s="117"/>
      <c r="Q109" s="117"/>
      <c r="R109" s="117"/>
      <c r="S109" s="117"/>
      <c r="T109" s="64">
        <f t="shared" si="18"/>
        <v>398.72200000000004</v>
      </c>
      <c r="U109" s="53">
        <f>237.1+3.2+152.622+5.8</f>
        <v>398.72200000000004</v>
      </c>
      <c r="V109" s="53">
        <f>159.6+4.8</f>
        <v>164.4</v>
      </c>
      <c r="W109" s="59">
        <v>27</v>
      </c>
      <c r="X109" s="59"/>
      <c r="Y109" s="66">
        <f>Z109+AC109</f>
        <v>1.9</v>
      </c>
      <c r="Z109" s="66">
        <v>1.9</v>
      </c>
      <c r="AA109" s="67"/>
      <c r="AB109" s="67"/>
      <c r="AC109" s="67"/>
      <c r="AD109" s="67"/>
      <c r="AE109" s="55">
        <f t="shared" si="20"/>
        <v>400.622</v>
      </c>
      <c r="AF109" s="27"/>
    </row>
    <row r="110" spans="1:32" ht="24" customHeight="1">
      <c r="A110" s="109"/>
      <c r="B110" s="135" t="s">
        <v>195</v>
      </c>
      <c r="C110" s="135" t="s">
        <v>188</v>
      </c>
      <c r="D110" s="136" t="s">
        <v>196</v>
      </c>
      <c r="E110" s="104"/>
      <c r="F110" s="118"/>
      <c r="G110" s="118"/>
      <c r="H110" s="118"/>
      <c r="I110" s="118"/>
      <c r="J110" s="117"/>
      <c r="K110" s="117"/>
      <c r="L110" s="117"/>
      <c r="M110" s="117"/>
      <c r="N110" s="117"/>
      <c r="O110" s="117"/>
      <c r="P110" s="117"/>
      <c r="Q110" s="117"/>
      <c r="R110" s="117"/>
      <c r="S110" s="117"/>
      <c r="T110" s="64">
        <f t="shared" si="18"/>
        <v>30.988</v>
      </c>
      <c r="U110" s="53">
        <v>30.988</v>
      </c>
      <c r="V110" s="53"/>
      <c r="W110" s="59"/>
      <c r="X110" s="59"/>
      <c r="Y110" s="66"/>
      <c r="Z110" s="66"/>
      <c r="AA110" s="67"/>
      <c r="AB110" s="67"/>
      <c r="AC110" s="67"/>
      <c r="AD110" s="67"/>
      <c r="AE110" s="55">
        <f t="shared" si="20"/>
        <v>30.988</v>
      </c>
      <c r="AF110" s="27"/>
    </row>
    <row r="111" spans="1:32" ht="24" customHeight="1">
      <c r="A111" s="109"/>
      <c r="B111" s="133" t="s">
        <v>167</v>
      </c>
      <c r="C111" s="133" t="s">
        <v>168</v>
      </c>
      <c r="D111" s="95" t="s">
        <v>171</v>
      </c>
      <c r="E111" s="104"/>
      <c r="F111" s="118"/>
      <c r="G111" s="118"/>
      <c r="H111" s="118"/>
      <c r="I111" s="118"/>
      <c r="J111" s="117"/>
      <c r="K111" s="117"/>
      <c r="L111" s="117"/>
      <c r="M111" s="117"/>
      <c r="N111" s="117"/>
      <c r="O111" s="117"/>
      <c r="P111" s="117"/>
      <c r="Q111" s="117"/>
      <c r="R111" s="117"/>
      <c r="S111" s="117"/>
      <c r="T111" s="64">
        <f t="shared" si="18"/>
        <v>1623.8</v>
      </c>
      <c r="U111" s="53">
        <v>1623.8</v>
      </c>
      <c r="V111" s="53"/>
      <c r="W111" s="59"/>
      <c r="X111" s="59"/>
      <c r="Y111" s="66"/>
      <c r="Z111" s="66"/>
      <c r="AA111" s="67"/>
      <c r="AB111" s="67"/>
      <c r="AC111" s="67"/>
      <c r="AD111" s="67"/>
      <c r="AE111" s="55">
        <f t="shared" si="20"/>
        <v>1623.8</v>
      </c>
      <c r="AF111" s="27"/>
    </row>
    <row r="112" spans="1:32" ht="46.5" customHeight="1">
      <c r="A112" s="109"/>
      <c r="B112" s="133" t="s">
        <v>167</v>
      </c>
      <c r="C112" s="133" t="s">
        <v>168</v>
      </c>
      <c r="D112" s="179" t="s">
        <v>170</v>
      </c>
      <c r="E112" s="179"/>
      <c r="F112" s="118"/>
      <c r="G112" s="118"/>
      <c r="H112" s="118"/>
      <c r="I112" s="118"/>
      <c r="J112" s="117"/>
      <c r="K112" s="117"/>
      <c r="L112" s="117"/>
      <c r="M112" s="117"/>
      <c r="N112" s="117"/>
      <c r="O112" s="117"/>
      <c r="P112" s="117"/>
      <c r="Q112" s="117"/>
      <c r="R112" s="117"/>
      <c r="S112" s="117"/>
      <c r="T112" s="53">
        <f t="shared" si="18"/>
        <v>1623.8</v>
      </c>
      <c r="U112" s="53">
        <v>1623.8</v>
      </c>
      <c r="V112" s="53"/>
      <c r="W112" s="59"/>
      <c r="X112" s="59"/>
      <c r="Y112" s="66"/>
      <c r="Z112" s="66"/>
      <c r="AA112" s="67"/>
      <c r="AB112" s="67"/>
      <c r="AC112" s="67"/>
      <c r="AD112" s="67"/>
      <c r="AE112" s="55">
        <f t="shared" si="20"/>
        <v>1623.8</v>
      </c>
      <c r="AF112" s="27"/>
    </row>
    <row r="113" spans="1:32" ht="20.25" customHeight="1">
      <c r="A113" s="109"/>
      <c r="B113" s="91"/>
      <c r="C113" s="91"/>
      <c r="D113" s="119" t="s">
        <v>27</v>
      </c>
      <c r="E113" s="120" t="e">
        <f>#REF!+#REF!+E105</f>
        <v>#REF!</v>
      </c>
      <c r="F113" s="119" t="e">
        <f>#REF!+#REF!+F105</f>
        <v>#REF!</v>
      </c>
      <c r="G113" s="119" t="e">
        <f>#REF!+#REF!+G105</f>
        <v>#REF!</v>
      </c>
      <c r="H113" s="120" t="e">
        <f>#REF!+#REF!+H105</f>
        <v>#REF!</v>
      </c>
      <c r="I113" s="119" t="e">
        <f>#REF!+#REF!+I105</f>
        <v>#REF!</v>
      </c>
      <c r="J113" s="119" t="e">
        <f>#REF!+#REF!+J105</f>
        <v>#REF!</v>
      </c>
      <c r="K113" s="119"/>
      <c r="L113" s="119" t="e">
        <f>#REF!+#REF!+L105</f>
        <v>#REF!</v>
      </c>
      <c r="M113" s="119" t="e">
        <f>#REF!+#REF!+M105</f>
        <v>#REF!</v>
      </c>
      <c r="N113" s="119"/>
      <c r="O113" s="119" t="e">
        <f>#REF!+#REF!+O105</f>
        <v>#REF!</v>
      </c>
      <c r="P113" s="119"/>
      <c r="Q113" s="119" t="e">
        <f>#REF!+#REF!+Q105</f>
        <v>#REF!</v>
      </c>
      <c r="R113" s="119" t="e">
        <f>#REF!+#REF!+R105</f>
        <v>#REF!</v>
      </c>
      <c r="S113" s="119"/>
      <c r="T113" s="56">
        <f>U113+X113</f>
        <v>5901.31</v>
      </c>
      <c r="U113" s="56">
        <f>U104+U111+U110</f>
        <v>5901.31</v>
      </c>
      <c r="V113" s="56">
        <f>V104+V111+V110</f>
        <v>2958.81</v>
      </c>
      <c r="W113" s="56">
        <f>W104+W111+W110</f>
        <v>414.20000000000005</v>
      </c>
      <c r="X113" s="56">
        <f aca="true" t="shared" si="21" ref="X113:AD113">X104+X111</f>
        <v>0</v>
      </c>
      <c r="Y113" s="56">
        <f t="shared" si="21"/>
        <v>56.1</v>
      </c>
      <c r="Z113" s="56">
        <f t="shared" si="21"/>
        <v>56.1</v>
      </c>
      <c r="AA113" s="56">
        <f t="shared" si="21"/>
        <v>40.17</v>
      </c>
      <c r="AB113" s="56">
        <f t="shared" si="21"/>
        <v>0</v>
      </c>
      <c r="AC113" s="56">
        <f t="shared" si="21"/>
        <v>0</v>
      </c>
      <c r="AD113" s="56">
        <f t="shared" si="21"/>
        <v>0</v>
      </c>
      <c r="AE113" s="56">
        <f>T113+Y113</f>
        <v>5957.410000000001</v>
      </c>
      <c r="AF113" s="34"/>
    </row>
    <row r="114" spans="1:32" ht="36.75" customHeight="1">
      <c r="A114" s="109"/>
      <c r="B114" s="115"/>
      <c r="C114" s="115"/>
      <c r="D114" s="107" t="s">
        <v>152</v>
      </c>
      <c r="E114" s="56"/>
      <c r="F114" s="56"/>
      <c r="G114" s="56"/>
      <c r="H114" s="56"/>
      <c r="I114" s="56"/>
      <c r="J114" s="107"/>
      <c r="K114" s="107"/>
      <c r="L114" s="107"/>
      <c r="M114" s="107"/>
      <c r="N114" s="107"/>
      <c r="O114" s="107"/>
      <c r="P114" s="107"/>
      <c r="Q114" s="107"/>
      <c r="R114" s="107"/>
      <c r="S114" s="107"/>
      <c r="T114" s="53">
        <f>E114+J114+O114</f>
        <v>0</v>
      </c>
      <c r="U114" s="53"/>
      <c r="V114" s="53">
        <f>G114+L114+Q114</f>
        <v>0</v>
      </c>
      <c r="W114" s="53">
        <f>H114+M114+R114</f>
        <v>0</v>
      </c>
      <c r="X114" s="53"/>
      <c r="Y114" s="54">
        <f>Z114+AC114</f>
        <v>0</v>
      </c>
      <c r="Z114" s="42"/>
      <c r="AA114" s="58"/>
      <c r="AB114" s="58"/>
      <c r="AC114" s="58"/>
      <c r="AD114" s="58"/>
      <c r="AE114" s="55">
        <f t="shared" si="20"/>
        <v>0</v>
      </c>
      <c r="AF114" s="17"/>
    </row>
    <row r="115" spans="1:32" ht="0" customHeight="1" hidden="1">
      <c r="A115" s="109"/>
      <c r="B115" s="89"/>
      <c r="C115" s="89"/>
      <c r="D115" s="77"/>
      <c r="E115" s="53"/>
      <c r="F115" s="53"/>
      <c r="G115" s="53"/>
      <c r="H115" s="53"/>
      <c r="I115" s="53"/>
      <c r="J115" s="121"/>
      <c r="K115" s="121"/>
      <c r="L115" s="77"/>
      <c r="M115" s="77"/>
      <c r="N115" s="77"/>
      <c r="O115" s="77"/>
      <c r="P115" s="77"/>
      <c r="Q115" s="77"/>
      <c r="R115" s="77"/>
      <c r="S115" s="77"/>
      <c r="T115" s="53"/>
      <c r="U115" s="53"/>
      <c r="V115" s="53"/>
      <c r="W115" s="53"/>
      <c r="X115" s="53"/>
      <c r="Y115" s="54"/>
      <c r="Z115" s="54"/>
      <c r="AA115" s="55"/>
      <c r="AB115" s="55"/>
      <c r="AC115" s="55"/>
      <c r="AD115" s="55"/>
      <c r="AE115" s="55">
        <f t="shared" si="20"/>
        <v>0</v>
      </c>
      <c r="AF115" s="27"/>
    </row>
    <row r="116" spans="1:32" ht="28.5" customHeight="1">
      <c r="A116" s="109"/>
      <c r="B116" s="89" t="s">
        <v>38</v>
      </c>
      <c r="C116" s="89" t="s">
        <v>52</v>
      </c>
      <c r="D116" s="77" t="s">
        <v>18</v>
      </c>
      <c r="E116" s="53"/>
      <c r="F116" s="53"/>
      <c r="G116" s="53"/>
      <c r="H116" s="53"/>
      <c r="I116" s="53"/>
      <c r="J116" s="121"/>
      <c r="K116" s="121"/>
      <c r="L116" s="77"/>
      <c r="M116" s="77"/>
      <c r="N116" s="77"/>
      <c r="O116" s="77"/>
      <c r="P116" s="77"/>
      <c r="Q116" s="77"/>
      <c r="R116" s="77"/>
      <c r="S116" s="77"/>
      <c r="T116" s="53">
        <v>15</v>
      </c>
      <c r="U116" s="53"/>
      <c r="V116" s="53"/>
      <c r="W116" s="53"/>
      <c r="X116" s="53"/>
      <c r="Y116" s="54"/>
      <c r="Z116" s="54"/>
      <c r="AA116" s="55"/>
      <c r="AB116" s="55"/>
      <c r="AC116" s="55"/>
      <c r="AD116" s="55"/>
      <c r="AE116" s="55">
        <f t="shared" si="20"/>
        <v>15</v>
      </c>
      <c r="AF116" s="27"/>
    </row>
    <row r="117" spans="1:33" ht="23.25" customHeight="1">
      <c r="A117" s="109"/>
      <c r="B117" s="109"/>
      <c r="C117" s="109"/>
      <c r="D117" s="107" t="s">
        <v>27</v>
      </c>
      <c r="E117" s="131" t="e">
        <f>SUM(#REF!)</f>
        <v>#REF!</v>
      </c>
      <c r="F117" s="131" t="e">
        <f>SUM(#REF!)</f>
        <v>#REF!</v>
      </c>
      <c r="G117" s="107" t="e">
        <f>SUM(#REF!)</f>
        <v>#REF!</v>
      </c>
      <c r="H117" s="107" t="e">
        <f>SUM(#REF!)</f>
        <v>#REF!</v>
      </c>
      <c r="I117" s="107"/>
      <c r="J117" s="107" t="e">
        <f>SUM(#REF!)</f>
        <v>#REF!</v>
      </c>
      <c r="K117" s="107"/>
      <c r="L117" s="107" t="e">
        <f>SUM(#REF!)</f>
        <v>#REF!</v>
      </c>
      <c r="M117" s="107" t="e">
        <f>SUM(#REF!)</f>
        <v>#REF!</v>
      </c>
      <c r="N117" s="107"/>
      <c r="O117" s="132" t="e">
        <f>#REF!+#REF!+#REF!+#REF!+#REF!+#REF!+#REF!+#REF!+#REF!+#REF!+#REF!+#REF!+#REF!+#REF!</f>
        <v>#REF!</v>
      </c>
      <c r="P117" s="132"/>
      <c r="Q117" s="107" t="e">
        <f>SUM(#REF!)</f>
        <v>#REF!</v>
      </c>
      <c r="R117" s="107" t="e">
        <f>SUM(#REF!)</f>
        <v>#REF!</v>
      </c>
      <c r="S117" s="107"/>
      <c r="T117" s="68">
        <f aca="true" t="shared" si="22" ref="T117:AD117">T116</f>
        <v>15</v>
      </c>
      <c r="U117" s="68">
        <f t="shared" si="22"/>
        <v>0</v>
      </c>
      <c r="V117" s="68">
        <f t="shared" si="22"/>
        <v>0</v>
      </c>
      <c r="W117" s="68">
        <f t="shared" si="22"/>
        <v>0</v>
      </c>
      <c r="X117" s="68">
        <f t="shared" si="22"/>
        <v>0</v>
      </c>
      <c r="Y117" s="56">
        <f t="shared" si="22"/>
        <v>0</v>
      </c>
      <c r="Z117" s="56">
        <f t="shared" si="22"/>
        <v>0</v>
      </c>
      <c r="AA117" s="56">
        <f t="shared" si="22"/>
        <v>0</v>
      </c>
      <c r="AB117" s="56">
        <f t="shared" si="22"/>
        <v>0</v>
      </c>
      <c r="AC117" s="56">
        <f t="shared" si="22"/>
        <v>0</v>
      </c>
      <c r="AD117" s="56">
        <f t="shared" si="22"/>
        <v>0</v>
      </c>
      <c r="AE117" s="57">
        <f>T117+Y117</f>
        <v>15</v>
      </c>
      <c r="AF117" s="19"/>
      <c r="AG117" s="4"/>
    </row>
    <row r="118" spans="1:33" ht="3" customHeight="1" hidden="1">
      <c r="A118" s="109"/>
      <c r="B118" s="122"/>
      <c r="C118" s="122"/>
      <c r="D118" s="51"/>
      <c r="E118" s="76"/>
      <c r="F118" s="76"/>
      <c r="G118" s="76"/>
      <c r="H118" s="76"/>
      <c r="I118" s="76"/>
      <c r="J118" s="51"/>
      <c r="K118" s="51"/>
      <c r="L118" s="51"/>
      <c r="M118" s="51"/>
      <c r="N118" s="51"/>
      <c r="O118" s="51"/>
      <c r="P118" s="51"/>
      <c r="Q118" s="51"/>
      <c r="R118" s="51"/>
      <c r="S118" s="51"/>
      <c r="T118" s="56">
        <f>E118+J118+O118</f>
        <v>0</v>
      </c>
      <c r="U118" s="56"/>
      <c r="V118" s="53">
        <f>G118+L118+Q118</f>
        <v>0</v>
      </c>
      <c r="W118" s="53">
        <f>H118+M118+R118</f>
        <v>0</v>
      </c>
      <c r="X118" s="53"/>
      <c r="Y118" s="54">
        <f>Z118+AC118</f>
        <v>0</v>
      </c>
      <c r="Z118" s="54"/>
      <c r="AA118" s="54"/>
      <c r="AB118" s="54"/>
      <c r="AC118" s="55"/>
      <c r="AD118" s="55"/>
      <c r="AE118" s="55">
        <f>T118+Y118</f>
        <v>0</v>
      </c>
      <c r="AF118" s="17"/>
      <c r="AG118" s="4"/>
    </row>
    <row r="119" spans="1:33" ht="48" customHeight="1">
      <c r="A119" s="109"/>
      <c r="B119" s="123"/>
      <c r="C119" s="123"/>
      <c r="D119" s="70" t="s">
        <v>4</v>
      </c>
      <c r="E119" s="124" t="e">
        <f>E117+#REF!+#REF!+#REF!+#REF!+#REF!+#REF!+#REF!+#REF!+#REF!+#REF!+#REF!+#REF!+#REF!+E113+E102+E31+E15</f>
        <v>#REF!</v>
      </c>
      <c r="F119" s="124" t="e">
        <f>F117+#REF!+#REF!+#REF!+#REF!+#REF!+#REF!+#REF!+#REF!+#REF!+#REF!+#REF!+#REF!+#REF!+F113+F102+F31+F15</f>
        <v>#REF!</v>
      </c>
      <c r="G119" s="125" t="e">
        <f>G117+#REF!+#REF!+#REF!+#REF!+#REF!+#REF!+#REF!+#REF!+#REF!+#REF!+#REF!+#REF!+#REF!+G113+G102+G31+G15</f>
        <v>#REF!</v>
      </c>
      <c r="H119" s="124" t="e">
        <f>H117+#REF!+#REF!+#REF!+#REF!+#REF!+#REF!+#REF!+#REF!+#REF!+#REF!+#REF!+#REF!+#REF!+H113+H102+H31+H15</f>
        <v>#REF!</v>
      </c>
      <c r="I119" s="124" t="e">
        <f>I117+#REF!+#REF!+#REF!+#REF!+#REF!+#REF!+#REF!+#REF!+#REF!+#REF!+#REF!+#REF!+#REF!+I113+I102+I31+I15</f>
        <v>#REF!</v>
      </c>
      <c r="J119" s="124" t="e">
        <f>J117+#REF!+#REF!+#REF!+#REF!+#REF!+#REF!+#REF!+#REF!+#REF!+#REF!+#REF!+#REF!+#REF!+J113+J102+J31+J15</f>
        <v>#REF!</v>
      </c>
      <c r="K119" s="124"/>
      <c r="L119" s="124" t="e">
        <f>L117+#REF!+#REF!+#REF!+#REF!+#REF!+#REF!+#REF!+#REF!+#REF!+#REF!+#REF!+#REF!+#REF!+L113+L102+L31+L15</f>
        <v>#REF!</v>
      </c>
      <c r="M119" s="124" t="e">
        <f>M117+#REF!+#REF!+#REF!+#REF!+#REF!+#REF!+#REF!+#REF!+#REF!+#REF!+#REF!+#REF!+#REF!+M113+M102+M31+M15</f>
        <v>#REF!</v>
      </c>
      <c r="N119" s="124"/>
      <c r="O119" s="124" t="e">
        <f>O117+#REF!+#REF!+#REF!+#REF!+#REF!+#REF!+#REF!+#REF!+#REF!+#REF!+#REF!+#REF!+#REF!+O113+O102+O31+O15</f>
        <v>#REF!</v>
      </c>
      <c r="P119" s="124"/>
      <c r="Q119" s="124" t="e">
        <f>Q117+#REF!+#REF!+#REF!+#REF!+#REF!+#REF!+#REF!+#REF!+#REF!+#REF!+#REF!+#REF!+#REF!+Q113+Q102+Q31+Q15</f>
        <v>#REF!</v>
      </c>
      <c r="R119" s="124" t="e">
        <f>R117+#REF!+#REF!+#REF!+#REF!+#REF!+#REF!+#REF!+#REF!+#REF!+#REF!+#REF!+#REF!+#REF!+R113+R102+R31+R15</f>
        <v>#REF!</v>
      </c>
      <c r="S119" s="124"/>
      <c r="T119" s="49">
        <f aca="true" t="shared" si="23" ref="T119:AE119">T117+T113+T102+T54+T31+T15</f>
        <v>197653.806</v>
      </c>
      <c r="U119" s="49">
        <f t="shared" si="23"/>
        <v>197638.806</v>
      </c>
      <c r="V119" s="49">
        <f t="shared" si="23"/>
        <v>53973.03</v>
      </c>
      <c r="W119" s="49">
        <f t="shared" si="23"/>
        <v>12849.6</v>
      </c>
      <c r="X119" s="49">
        <f t="shared" si="23"/>
        <v>0</v>
      </c>
      <c r="Y119" s="130">
        <f t="shared" si="23"/>
        <v>3131.42864</v>
      </c>
      <c r="Z119" s="49">
        <f t="shared" si="23"/>
        <v>619.6610000000001</v>
      </c>
      <c r="AA119" s="49">
        <f t="shared" si="23"/>
        <v>209.17000000000002</v>
      </c>
      <c r="AB119" s="49">
        <f t="shared" si="23"/>
        <v>6</v>
      </c>
      <c r="AC119" s="130">
        <f t="shared" si="23"/>
        <v>2511.76764</v>
      </c>
      <c r="AD119" s="130">
        <f t="shared" si="23"/>
        <v>2511.76764</v>
      </c>
      <c r="AE119" s="130">
        <f t="shared" si="23"/>
        <v>200785.23463999998</v>
      </c>
      <c r="AF119" s="19">
        <f>Y119+T119</f>
        <v>200785.23464</v>
      </c>
      <c r="AG119" s="45"/>
    </row>
    <row r="120" spans="1:32" ht="45.75" customHeight="1">
      <c r="A120" s="126"/>
      <c r="B120" s="127"/>
      <c r="C120" s="127"/>
      <c r="D120" s="128" t="s">
        <v>16</v>
      </c>
      <c r="E120" s="59"/>
      <c r="F120" s="59"/>
      <c r="G120" s="59">
        <v>0</v>
      </c>
      <c r="H120" s="59">
        <v>0</v>
      </c>
      <c r="I120" s="59"/>
      <c r="J120" s="128"/>
      <c r="K120" s="128"/>
      <c r="L120" s="128"/>
      <c r="M120" s="128"/>
      <c r="N120" s="128"/>
      <c r="O120" s="128"/>
      <c r="P120" s="128"/>
      <c r="Q120" s="128"/>
      <c r="R120" s="128"/>
      <c r="S120" s="128"/>
      <c r="T120" s="59">
        <f>U120</f>
        <v>162695.088</v>
      </c>
      <c r="U120" s="59">
        <f>U57+U58+U59+U64+U66+U72+U73+U77+U76+U78+U79+U80+U81+U82+U83+U84+U85+U86+U87+U91+U97+U100+U62+U35+U23+U20</f>
        <v>162695.088</v>
      </c>
      <c r="V120" s="59">
        <f>V57+V58+V59+V64+V66+V72+V73+V77+V76+V78+V79+V80+V81+V82+V83+V84+V85+V86+V87+V91+V97+V100+V62+V35+V23+V20</f>
        <v>44044.4</v>
      </c>
      <c r="W120" s="59">
        <f>W57+W58+W59+W64+W66+W72+W73+W77+W76+W78+W79+W80+W81+W82+W83+W84+W85+W86+W87+W91+W97+W100+W62+W35+W23+W20</f>
        <v>11422</v>
      </c>
      <c r="X120" s="59">
        <f>X57+X58+X59+X64+X66+X72+X73+X77+X76+X78+X79+X80+X81+X82+X83+X84+X85+X86+X87+X91+X97+X100+X62+X35+X23+X20</f>
        <v>0</v>
      </c>
      <c r="Y120" s="59">
        <f>Z120+AC120</f>
        <v>314.075</v>
      </c>
      <c r="Z120" s="59">
        <f>Z57+Z58+Z59+Z64+Z66+Z72+Z73+Z77+Z76+Z78+Z79+Z80+Z81+Z82+Z83+Z84+Z85+Z86+Z87+Z91+Z97+Z100+Z62+Z35+Z23+Z20</f>
        <v>0</v>
      </c>
      <c r="AA120" s="59">
        <f>AA57+AA58+AA59+AA64+AA66+AA72+AA73+AA77+AA76+AA78+AA79+AA80+AA81+AA82+AA83+AA84+AA85+AA86+AA87+AA91+AA97+AA100+AA62+AA35+AA23+AA20</f>
        <v>0</v>
      </c>
      <c r="AB120" s="59">
        <f>AB57+AB58+AB59+AB64+AB66+AB72+AB73+AB77+AB76+AB78+AB79+AB80+AB81+AB82+AB83+AB84+AB85+AB86+AB87+AB91+AB97+AB100+AB62+AB35+AB23+AB20</f>
        <v>0</v>
      </c>
      <c r="AC120" s="59">
        <f>AC57+AC58+AC59+AC64+AC66+AC72+AC73+AC77+AC76+AC78+AC79+AC80+AC81+AC82+AC83+AC84+AC85+AC86+AC87+AC91+AC97+AC100+AC62+AC35+AC23+AC20+AC48</f>
        <v>314.075</v>
      </c>
      <c r="AD120" s="59">
        <f>AD57+AD58+AD59+AD64+AD66+AD72+AD73+AD77+AD76+AD78+AD79+AD80+AD81+AD82+AD83+AD84+AD85+AD86+AD87+AD91+AD97+AD100+AD62+AD35+AD23+AD20+AD48</f>
        <v>314.075</v>
      </c>
      <c r="AE120" s="55">
        <f>T120+Y120</f>
        <v>163009.163</v>
      </c>
      <c r="AF120" s="40"/>
    </row>
    <row r="121" spans="1:32" ht="30.75" customHeight="1">
      <c r="A121" s="126"/>
      <c r="B121" s="127"/>
      <c r="C121" s="127"/>
      <c r="D121" s="137" t="s">
        <v>49</v>
      </c>
      <c r="E121" s="59"/>
      <c r="F121" s="59"/>
      <c r="G121" s="59"/>
      <c r="H121" s="59"/>
      <c r="I121" s="59"/>
      <c r="J121" s="128"/>
      <c r="K121" s="128"/>
      <c r="L121" s="128"/>
      <c r="M121" s="128"/>
      <c r="N121" s="128"/>
      <c r="O121" s="128"/>
      <c r="P121" s="128"/>
      <c r="Q121" s="128"/>
      <c r="R121" s="128"/>
      <c r="S121" s="128"/>
      <c r="T121" s="59"/>
      <c r="U121" s="59"/>
      <c r="V121" s="59"/>
      <c r="W121" s="59"/>
      <c r="X121" s="59"/>
      <c r="Y121" s="59"/>
      <c r="Z121" s="59"/>
      <c r="AA121" s="59"/>
      <c r="AB121" s="59"/>
      <c r="AC121" s="59"/>
      <c r="AD121" s="59"/>
      <c r="AE121" s="55"/>
      <c r="AF121" s="40"/>
    </row>
    <row r="122" spans="1:32" ht="45.75" customHeight="1">
      <c r="A122" s="126"/>
      <c r="B122" s="127"/>
      <c r="C122" s="127"/>
      <c r="D122" s="137" t="s">
        <v>203</v>
      </c>
      <c r="E122" s="59"/>
      <c r="F122" s="59"/>
      <c r="G122" s="59"/>
      <c r="H122" s="59"/>
      <c r="I122" s="59"/>
      <c r="J122" s="128"/>
      <c r="K122" s="128"/>
      <c r="L122" s="128"/>
      <c r="M122" s="128"/>
      <c r="N122" s="128"/>
      <c r="O122" s="128"/>
      <c r="P122" s="128"/>
      <c r="Q122" s="128"/>
      <c r="R122" s="128"/>
      <c r="S122" s="128"/>
      <c r="T122" s="59">
        <f>U122+X122</f>
        <v>1994.088</v>
      </c>
      <c r="U122" s="59">
        <f>U123+U124</f>
        <v>1994.088</v>
      </c>
      <c r="V122" s="59">
        <f>V123+V124</f>
        <v>0</v>
      </c>
      <c r="W122" s="59">
        <f>W123+W124</f>
        <v>759</v>
      </c>
      <c r="X122" s="59">
        <f>X123+X124</f>
        <v>0</v>
      </c>
      <c r="Y122" s="59">
        <f>Z122+AC122</f>
        <v>314.075</v>
      </c>
      <c r="Z122" s="59">
        <f>Z123+Z124</f>
        <v>0</v>
      </c>
      <c r="AA122" s="59">
        <f>AA123+AA124</f>
        <v>0</v>
      </c>
      <c r="AB122" s="59">
        <f>AB123+AB124</f>
        <v>0</v>
      </c>
      <c r="AC122" s="59">
        <f>AC123+AC124</f>
        <v>314.075</v>
      </c>
      <c r="AD122" s="59">
        <f>AD123+AD124</f>
        <v>314.075</v>
      </c>
      <c r="AE122" s="55">
        <f>T122+Y122</f>
        <v>2308.163</v>
      </c>
      <c r="AF122" s="40"/>
    </row>
    <row r="123" spans="1:32" ht="30.75" customHeight="1">
      <c r="A123" s="126"/>
      <c r="B123" s="127"/>
      <c r="C123" s="127"/>
      <c r="D123" s="137" t="s">
        <v>197</v>
      </c>
      <c r="E123" s="59"/>
      <c r="F123" s="59"/>
      <c r="G123" s="59"/>
      <c r="H123" s="59"/>
      <c r="I123" s="59"/>
      <c r="J123" s="128"/>
      <c r="K123" s="128"/>
      <c r="L123" s="128"/>
      <c r="M123" s="128"/>
      <c r="N123" s="128"/>
      <c r="O123" s="128"/>
      <c r="P123" s="128"/>
      <c r="Q123" s="128"/>
      <c r="R123" s="128"/>
      <c r="S123" s="128"/>
      <c r="T123" s="139">
        <f>U123+X123</f>
        <v>808.848</v>
      </c>
      <c r="U123" s="59">
        <f>U21+U24</f>
        <v>808.848</v>
      </c>
      <c r="V123" s="59">
        <f>V21+V24</f>
        <v>0</v>
      </c>
      <c r="W123" s="59">
        <f>W21+W24</f>
        <v>0</v>
      </c>
      <c r="X123" s="59"/>
      <c r="Y123" s="66">
        <f>Z123+AC123</f>
        <v>0</v>
      </c>
      <c r="Z123" s="59">
        <f>Z21+Z24</f>
        <v>0</v>
      </c>
      <c r="AA123" s="59">
        <f>AA21+AA24</f>
        <v>0</v>
      </c>
      <c r="AB123" s="59">
        <f>AB21+AB24</f>
        <v>0</v>
      </c>
      <c r="AC123" s="59">
        <f>AC21+AC24</f>
        <v>0</v>
      </c>
      <c r="AD123" s="59">
        <f>AD21+AD24</f>
        <v>0</v>
      </c>
      <c r="AE123" s="55">
        <f>T123+Y123</f>
        <v>808.848</v>
      </c>
      <c r="AF123" s="40"/>
    </row>
    <row r="124" spans="1:32" ht="32.25" customHeight="1">
      <c r="A124" s="126"/>
      <c r="B124" s="127"/>
      <c r="C124" s="127"/>
      <c r="D124" s="137" t="s">
        <v>198</v>
      </c>
      <c r="E124" s="59"/>
      <c r="F124" s="59"/>
      <c r="G124" s="59"/>
      <c r="H124" s="59"/>
      <c r="I124" s="59"/>
      <c r="J124" s="128"/>
      <c r="K124" s="128"/>
      <c r="L124" s="128"/>
      <c r="M124" s="128"/>
      <c r="N124" s="128"/>
      <c r="O124" s="128"/>
      <c r="P124" s="128"/>
      <c r="Q124" s="128"/>
      <c r="R124" s="128"/>
      <c r="S124" s="128"/>
      <c r="T124" s="53">
        <f>U124+X124</f>
        <v>1185.24</v>
      </c>
      <c r="U124" s="59">
        <f>U36</f>
        <v>1185.24</v>
      </c>
      <c r="V124" s="59">
        <f>V36</f>
        <v>0</v>
      </c>
      <c r="W124" s="59">
        <f>W36</f>
        <v>759</v>
      </c>
      <c r="X124" s="59">
        <f>X36</f>
        <v>0</v>
      </c>
      <c r="Y124" s="66">
        <f>Z124+AC124</f>
        <v>314.075</v>
      </c>
      <c r="Z124" s="59">
        <f>Z36</f>
        <v>0</v>
      </c>
      <c r="AA124" s="59">
        <f>AA36</f>
        <v>0</v>
      </c>
      <c r="AB124" s="59">
        <f>AB36</f>
        <v>0</v>
      </c>
      <c r="AC124" s="59">
        <f>AC36+AC48</f>
        <v>314.075</v>
      </c>
      <c r="AD124" s="59">
        <f>AD36+AD48</f>
        <v>314.075</v>
      </c>
      <c r="AE124" s="55">
        <f>T124+Y124</f>
        <v>1499.315</v>
      </c>
      <c r="AF124" s="40"/>
    </row>
    <row r="125" spans="1:32" ht="32.25" customHeight="1">
      <c r="A125" s="126"/>
      <c r="B125" s="127"/>
      <c r="C125" s="127"/>
      <c r="D125" s="137"/>
      <c r="E125" s="59"/>
      <c r="F125" s="59"/>
      <c r="G125" s="59"/>
      <c r="H125" s="59"/>
      <c r="I125" s="59"/>
      <c r="J125" s="128"/>
      <c r="K125" s="128"/>
      <c r="L125" s="128"/>
      <c r="M125" s="128"/>
      <c r="N125" s="128"/>
      <c r="O125" s="128"/>
      <c r="P125" s="128"/>
      <c r="Q125" s="128"/>
      <c r="R125" s="128"/>
      <c r="S125" s="128"/>
      <c r="T125" s="53"/>
      <c r="U125" s="59"/>
      <c r="V125" s="59"/>
      <c r="W125" s="59"/>
      <c r="X125" s="59"/>
      <c r="Y125" s="66"/>
      <c r="Z125" s="59"/>
      <c r="AA125" s="59"/>
      <c r="AB125" s="59"/>
      <c r="AC125" s="59"/>
      <c r="AD125" s="59"/>
      <c r="AE125" s="55"/>
      <c r="AF125" s="40"/>
    </row>
    <row r="126" spans="1:32" ht="67.5" customHeight="1">
      <c r="A126" s="51"/>
      <c r="B126" s="97"/>
      <c r="C126" s="97"/>
      <c r="D126" s="75" t="s">
        <v>163</v>
      </c>
      <c r="E126" s="42"/>
      <c r="F126" s="42"/>
      <c r="G126" s="42"/>
      <c r="H126" s="14" t="s">
        <v>164</v>
      </c>
      <c r="I126" s="14"/>
      <c r="J126" s="10"/>
      <c r="K126" s="10"/>
      <c r="L126" s="10"/>
      <c r="M126" s="10"/>
      <c r="N126" s="10"/>
      <c r="O126" s="10"/>
      <c r="P126" s="10"/>
      <c r="Q126" s="10"/>
      <c r="R126" s="10"/>
      <c r="S126" s="10"/>
      <c r="T126" s="10"/>
      <c r="U126" s="10"/>
      <c r="V126" s="10"/>
      <c r="W126" s="47"/>
      <c r="X126" s="14" t="s">
        <v>164</v>
      </c>
      <c r="Y126" s="11"/>
      <c r="Z126" s="11"/>
      <c r="AA126" s="11"/>
      <c r="AB126" s="12"/>
      <c r="AC126" s="25"/>
      <c r="AD126" s="25"/>
      <c r="AE126" s="55">
        <f>T126+Y126</f>
        <v>0</v>
      </c>
      <c r="AF126" s="17"/>
    </row>
    <row r="127" spans="1:32" ht="22.5" customHeight="1">
      <c r="A127" s="51"/>
      <c r="B127" s="97"/>
      <c r="C127" s="97"/>
      <c r="D127" s="70"/>
      <c r="E127" s="42"/>
      <c r="F127" s="13"/>
      <c r="G127" s="13"/>
      <c r="H127" s="13"/>
      <c r="I127" s="13"/>
      <c r="J127" s="13"/>
      <c r="K127" s="13"/>
      <c r="L127" s="13"/>
      <c r="M127" s="13"/>
      <c r="N127" s="13"/>
      <c r="O127" s="13"/>
      <c r="P127" s="13"/>
      <c r="Q127" s="13"/>
      <c r="R127" s="13"/>
      <c r="S127" s="13"/>
      <c r="T127" s="41"/>
      <c r="U127" s="41"/>
      <c r="V127" s="41"/>
      <c r="W127" s="41"/>
      <c r="X127" s="129"/>
      <c r="Y127" s="42"/>
      <c r="Z127" s="14"/>
      <c r="AA127" s="14"/>
      <c r="AB127" s="14"/>
      <c r="AC127" s="178"/>
      <c r="AD127" s="178"/>
      <c r="AE127" s="55">
        <f>T127+Y127</f>
        <v>0</v>
      </c>
      <c r="AF127" s="17"/>
    </row>
    <row r="128" spans="2:31" ht="34.5" customHeight="1" hidden="1">
      <c r="B128" s="36" t="s">
        <v>42</v>
      </c>
      <c r="C128" s="36"/>
      <c r="D128" s="2"/>
      <c r="E128" s="2"/>
      <c r="F128" s="2"/>
      <c r="G128" s="2"/>
      <c r="H128" s="2"/>
      <c r="I128" s="2"/>
      <c r="J128" s="2"/>
      <c r="K128" s="2"/>
      <c r="L128" s="2"/>
      <c r="M128" s="2"/>
      <c r="N128" s="2"/>
      <c r="O128" s="2"/>
      <c r="P128" s="2"/>
      <c r="Q128" s="2"/>
      <c r="R128" s="2"/>
      <c r="S128" s="2"/>
      <c r="T128" s="29"/>
      <c r="U128" s="29"/>
      <c r="V128" s="29">
        <v>527997.7660000001</v>
      </c>
      <c r="W128" s="29">
        <v>119355.355</v>
      </c>
      <c r="X128" s="29">
        <v>706.6</v>
      </c>
      <c r="Y128" s="38">
        <v>150548.44</v>
      </c>
      <c r="Z128" s="38">
        <v>80804.79999999999</v>
      </c>
      <c r="AA128" s="38">
        <v>18427.699999999997</v>
      </c>
      <c r="AB128" s="38">
        <v>3834.9</v>
      </c>
      <c r="AC128" s="39">
        <v>69743.64</v>
      </c>
      <c r="AD128" s="39">
        <v>65917.74</v>
      </c>
      <c r="AE128" s="43">
        <v>3002838.44</v>
      </c>
    </row>
    <row r="129" spans="2:31" ht="18.75" hidden="1">
      <c r="B129" s="22" t="s">
        <v>43</v>
      </c>
      <c r="C129" s="22"/>
      <c r="D129" s="28"/>
      <c r="E129" s="28"/>
      <c r="F129" s="28"/>
      <c r="G129" s="28"/>
      <c r="H129" s="28"/>
      <c r="I129" s="28"/>
      <c r="J129" s="28"/>
      <c r="K129" s="28"/>
      <c r="L129" s="28"/>
      <c r="M129" s="28"/>
      <c r="N129" s="28"/>
      <c r="O129" s="28"/>
      <c r="P129" s="28"/>
      <c r="Q129" s="28"/>
      <c r="R129" s="28"/>
      <c r="S129" s="28"/>
      <c r="T129" s="29"/>
      <c r="U129" s="29"/>
      <c r="V129" s="29">
        <f aca="true" t="shared" si="24" ref="V129:AE129">V119-V128</f>
        <v>-474024.73600000003</v>
      </c>
      <c r="W129" s="29">
        <f t="shared" si="24"/>
        <v>-106505.75499999999</v>
      </c>
      <c r="X129" s="29">
        <f t="shared" si="24"/>
        <v>-706.6</v>
      </c>
      <c r="Y129" s="29">
        <f t="shared" si="24"/>
        <v>-147417.01136</v>
      </c>
      <c r="Z129" s="29">
        <f t="shared" si="24"/>
        <v>-80185.139</v>
      </c>
      <c r="AA129" s="29">
        <f t="shared" si="24"/>
        <v>-18218.53</v>
      </c>
      <c r="AB129" s="29">
        <f t="shared" si="24"/>
        <v>-3828.9</v>
      </c>
      <c r="AC129" s="29">
        <f t="shared" si="24"/>
        <v>-67231.87236</v>
      </c>
      <c r="AD129" s="29">
        <f t="shared" si="24"/>
        <v>-63405.97236000001</v>
      </c>
      <c r="AE129" s="29">
        <f t="shared" si="24"/>
        <v>-2802053.20536</v>
      </c>
    </row>
    <row r="130" spans="2:31" ht="18.75">
      <c r="B130" s="22"/>
      <c r="C130" s="22"/>
      <c r="D130" s="28"/>
      <c r="E130" s="28"/>
      <c r="F130" s="28"/>
      <c r="G130" s="28"/>
      <c r="H130" s="28"/>
      <c r="I130" s="28"/>
      <c r="J130" s="28"/>
      <c r="K130" s="28"/>
      <c r="L130" s="28"/>
      <c r="M130" s="28"/>
      <c r="N130" s="28"/>
      <c r="O130" s="28"/>
      <c r="P130" s="28"/>
      <c r="Q130" s="28"/>
      <c r="R130" s="28"/>
      <c r="S130" s="28"/>
      <c r="T130" s="29"/>
      <c r="U130" s="29"/>
      <c r="V130" s="29"/>
      <c r="W130" s="29"/>
      <c r="X130" s="29"/>
      <c r="Y130" s="29"/>
      <c r="Z130" s="29"/>
      <c r="AA130" s="29"/>
      <c r="AB130" s="29"/>
      <c r="AC130" s="29"/>
      <c r="AD130" s="29"/>
      <c r="AE130" s="29"/>
    </row>
    <row r="131" spans="2:32" ht="18.75">
      <c r="B131" s="23"/>
      <c r="C131" s="23"/>
      <c r="D131" s="15"/>
      <c r="E131" s="15"/>
      <c r="F131" s="15"/>
      <c r="G131" s="15"/>
      <c r="H131" s="15"/>
      <c r="I131" s="15"/>
      <c r="J131" s="15"/>
      <c r="K131" s="15"/>
      <c r="L131" s="15"/>
      <c r="M131" s="15"/>
      <c r="N131" s="15"/>
      <c r="O131" s="15"/>
      <c r="P131" s="15"/>
      <c r="Q131" s="15"/>
      <c r="R131" s="15"/>
      <c r="S131" s="15"/>
      <c r="T131" s="29"/>
      <c r="U131" s="29"/>
      <c r="V131" s="29"/>
      <c r="W131" s="29"/>
      <c r="X131" s="29"/>
      <c r="Y131" s="29"/>
      <c r="Z131" s="29"/>
      <c r="AA131" s="29"/>
      <c r="AB131" s="29"/>
      <c r="AC131" s="29"/>
      <c r="AD131" s="29"/>
      <c r="AE131" s="29"/>
      <c r="AF131" s="18"/>
    </row>
    <row r="132" spans="2:32" ht="18.75">
      <c r="B132" s="23"/>
      <c r="C132" s="23"/>
      <c r="D132" s="15"/>
      <c r="E132" s="15"/>
      <c r="F132" s="15"/>
      <c r="G132" s="15"/>
      <c r="H132" s="15"/>
      <c r="I132" s="15"/>
      <c r="J132" s="15"/>
      <c r="K132" s="15"/>
      <c r="L132" s="15"/>
      <c r="M132" s="15"/>
      <c r="N132" s="15"/>
      <c r="O132" s="15"/>
      <c r="P132" s="15"/>
      <c r="Q132" s="15"/>
      <c r="R132" s="15"/>
      <c r="S132" s="15"/>
      <c r="T132" s="29"/>
      <c r="U132" s="29"/>
      <c r="V132" s="29"/>
      <c r="W132" s="29"/>
      <c r="X132" s="29"/>
      <c r="Y132" s="29"/>
      <c r="Z132" s="29"/>
      <c r="AA132" s="29"/>
      <c r="AB132" s="29"/>
      <c r="AC132" s="29"/>
      <c r="AD132" s="29"/>
      <c r="AE132" s="29"/>
      <c r="AF132" s="18"/>
    </row>
    <row r="133" spans="2:31" ht="18.75">
      <c r="B133" s="23"/>
      <c r="C133" s="23"/>
      <c r="D133" s="15"/>
      <c r="E133" s="15"/>
      <c r="F133" s="15"/>
      <c r="G133" s="15"/>
      <c r="H133" s="15"/>
      <c r="I133" s="15"/>
      <c r="J133" s="15"/>
      <c r="K133" s="15"/>
      <c r="L133" s="15"/>
      <c r="M133" s="15"/>
      <c r="N133" s="15"/>
      <c r="O133" s="15"/>
      <c r="P133" s="15"/>
      <c r="Q133" s="15"/>
      <c r="R133" s="15"/>
      <c r="S133" s="15"/>
      <c r="T133" s="29"/>
      <c r="U133" s="29"/>
      <c r="V133" s="29"/>
      <c r="W133" s="29"/>
      <c r="X133" s="29"/>
      <c r="Y133" s="29"/>
      <c r="Z133" s="29"/>
      <c r="AA133" s="29"/>
      <c r="AB133" s="29"/>
      <c r="AC133" s="29"/>
      <c r="AD133" s="29"/>
      <c r="AE133" s="29"/>
    </row>
    <row r="134" spans="2:32" ht="18.75">
      <c r="B134" s="23"/>
      <c r="C134" s="23"/>
      <c r="D134" s="15"/>
      <c r="E134" s="15"/>
      <c r="F134" s="15"/>
      <c r="G134" s="15"/>
      <c r="H134" s="15"/>
      <c r="I134" s="15"/>
      <c r="J134" s="15"/>
      <c r="K134" s="15"/>
      <c r="L134" s="15"/>
      <c r="M134" s="15"/>
      <c r="N134" s="15"/>
      <c r="O134" s="15"/>
      <c r="P134" s="15"/>
      <c r="Q134" s="15"/>
      <c r="R134" s="15"/>
      <c r="S134" s="15"/>
      <c r="T134" s="29"/>
      <c r="U134" s="29"/>
      <c r="V134" s="29"/>
      <c r="W134" s="29"/>
      <c r="X134" s="29"/>
      <c r="Y134" s="29"/>
      <c r="Z134" s="29"/>
      <c r="AA134" s="29"/>
      <c r="AB134" s="29"/>
      <c r="AC134" s="29"/>
      <c r="AD134" s="29"/>
      <c r="AE134" s="29"/>
      <c r="AF134" s="18"/>
    </row>
    <row r="135" spans="2:31" ht="18.75">
      <c r="B135" s="23"/>
      <c r="C135" s="23"/>
      <c r="D135" s="15"/>
      <c r="E135" s="15"/>
      <c r="F135" s="15"/>
      <c r="G135" s="15"/>
      <c r="H135" s="15"/>
      <c r="I135" s="15"/>
      <c r="J135" s="15"/>
      <c r="K135" s="15"/>
      <c r="L135" s="15"/>
      <c r="M135" s="15"/>
      <c r="N135" s="15"/>
      <c r="O135" s="15"/>
      <c r="P135" s="15"/>
      <c r="Q135" s="15"/>
      <c r="R135" s="15"/>
      <c r="S135" s="15"/>
      <c r="T135" s="29"/>
      <c r="U135" s="29"/>
      <c r="V135" s="29"/>
      <c r="W135" s="29"/>
      <c r="X135" s="29"/>
      <c r="Y135" s="29"/>
      <c r="Z135" s="29"/>
      <c r="AA135" s="29"/>
      <c r="AB135" s="29"/>
      <c r="AC135" s="29"/>
      <c r="AD135" s="29"/>
      <c r="AE135" s="29"/>
    </row>
    <row r="136" spans="2:31" ht="18.75">
      <c r="B136" s="23"/>
      <c r="C136" s="23"/>
      <c r="D136" s="15"/>
      <c r="E136" s="15"/>
      <c r="F136" s="15"/>
      <c r="G136" s="15"/>
      <c r="H136" s="15"/>
      <c r="I136" s="15"/>
      <c r="J136" s="15"/>
      <c r="K136" s="15"/>
      <c r="L136" s="15"/>
      <c r="M136" s="15"/>
      <c r="N136" s="15"/>
      <c r="O136" s="15"/>
      <c r="P136" s="15"/>
      <c r="Q136" s="15"/>
      <c r="R136" s="15"/>
      <c r="S136" s="15"/>
      <c r="T136" s="29"/>
      <c r="U136" s="29"/>
      <c r="V136" s="29"/>
      <c r="W136" s="29"/>
      <c r="X136" s="29"/>
      <c r="Y136" s="29"/>
      <c r="Z136" s="29"/>
      <c r="AA136" s="29"/>
      <c r="AB136" s="29"/>
      <c r="AC136" s="29"/>
      <c r="AD136" s="29"/>
      <c r="AE136" s="29"/>
    </row>
    <row r="137" spans="2:31" ht="18.75">
      <c r="B137" s="23"/>
      <c r="C137" s="23"/>
      <c r="D137" s="15"/>
      <c r="E137" s="15"/>
      <c r="F137" s="15"/>
      <c r="G137" s="15"/>
      <c r="H137" s="15"/>
      <c r="I137" s="15"/>
      <c r="J137" s="15"/>
      <c r="K137" s="15"/>
      <c r="L137" s="15"/>
      <c r="M137" s="15"/>
      <c r="N137" s="15"/>
      <c r="O137" s="15"/>
      <c r="P137" s="15"/>
      <c r="Q137" s="15"/>
      <c r="R137" s="15"/>
      <c r="S137" s="15"/>
      <c r="T137" s="29"/>
      <c r="U137" s="29"/>
      <c r="V137" s="29"/>
      <c r="W137" s="29"/>
      <c r="X137" s="29"/>
      <c r="Y137" s="29"/>
      <c r="Z137" s="29"/>
      <c r="AA137" s="29"/>
      <c r="AB137" s="29"/>
      <c r="AC137" s="29"/>
      <c r="AD137" s="29"/>
      <c r="AE137" s="29"/>
    </row>
    <row r="138" spans="2:31"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row>
    <row r="139" spans="2:31" ht="18.7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row>
    <row r="140" spans="2:31" ht="18.75">
      <c r="B140" s="23"/>
      <c r="C140" s="23"/>
      <c r="D140" s="15"/>
      <c r="E140" s="15"/>
      <c r="F140" s="15"/>
      <c r="G140" s="15"/>
      <c r="H140" s="15"/>
      <c r="I140" s="15"/>
      <c r="J140" s="15"/>
      <c r="K140" s="15"/>
      <c r="L140" s="15"/>
      <c r="M140" s="15"/>
      <c r="N140" s="15"/>
      <c r="O140" s="15"/>
      <c r="P140" s="15"/>
      <c r="Q140" s="15"/>
      <c r="R140" s="15"/>
      <c r="S140" s="15"/>
      <c r="T140" s="29"/>
      <c r="U140" s="29"/>
      <c r="V140" s="29"/>
      <c r="W140" s="29"/>
      <c r="X140" s="29"/>
      <c r="Y140" s="29"/>
      <c r="Z140" s="29"/>
      <c r="AA140" s="29"/>
      <c r="AB140" s="29"/>
      <c r="AC140" s="29"/>
      <c r="AD140" s="29"/>
      <c r="AE140" s="29"/>
    </row>
    <row r="141" spans="2:31" ht="18.75">
      <c r="B141" s="23"/>
      <c r="C141" s="23"/>
      <c r="D141" s="15"/>
      <c r="E141" s="15"/>
      <c r="F141" s="15"/>
      <c r="G141" s="15"/>
      <c r="H141" s="15"/>
      <c r="I141" s="15"/>
      <c r="J141" s="15"/>
      <c r="K141" s="15"/>
      <c r="L141" s="15"/>
      <c r="M141" s="15"/>
      <c r="N141" s="15"/>
      <c r="O141" s="15"/>
      <c r="P141" s="15"/>
      <c r="Q141" s="15"/>
      <c r="R141" s="15"/>
      <c r="S141" s="15"/>
      <c r="T141" s="29"/>
      <c r="U141" s="29"/>
      <c r="V141" s="29"/>
      <c r="W141" s="29"/>
      <c r="X141" s="29"/>
      <c r="Y141" s="29"/>
      <c r="Z141" s="29"/>
      <c r="AA141" s="29"/>
      <c r="AB141" s="29"/>
      <c r="AC141" s="29"/>
      <c r="AD141" s="29"/>
      <c r="AE141" s="29"/>
    </row>
    <row r="142" spans="2:31" ht="18.75">
      <c r="B142" s="23"/>
      <c r="C142" s="23"/>
      <c r="D142" s="15"/>
      <c r="E142" s="15"/>
      <c r="F142" s="15"/>
      <c r="G142" s="15"/>
      <c r="H142" s="15"/>
      <c r="I142" s="15"/>
      <c r="J142" s="15"/>
      <c r="K142" s="15"/>
      <c r="L142" s="15"/>
      <c r="M142" s="15"/>
      <c r="N142" s="15"/>
      <c r="O142" s="15"/>
      <c r="P142" s="15"/>
      <c r="Q142" s="15"/>
      <c r="R142" s="15"/>
      <c r="S142" s="15"/>
      <c r="T142" s="29"/>
      <c r="U142" s="29"/>
      <c r="V142" s="29"/>
      <c r="W142" s="29"/>
      <c r="X142" s="29"/>
      <c r="Y142" s="29"/>
      <c r="Z142" s="29"/>
      <c r="AA142" s="29"/>
      <c r="AB142" s="29"/>
      <c r="AC142" s="29"/>
      <c r="AD142" s="29"/>
      <c r="AE142" s="29"/>
    </row>
    <row r="143" spans="2:31" ht="18.75">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row>
    <row r="144" spans="2:32" ht="18.75">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c r="AF144" s="16"/>
    </row>
    <row r="145" spans="2:31" ht="18.75">
      <c r="B145" s="23"/>
      <c r="C145" s="23"/>
      <c r="D145" s="15"/>
      <c r="E145" s="15"/>
      <c r="F145" s="15"/>
      <c r="G145" s="15"/>
      <c r="H145" s="15"/>
      <c r="I145" s="15"/>
      <c r="J145" s="15"/>
      <c r="K145" s="15"/>
      <c r="L145" s="15"/>
      <c r="M145" s="15"/>
      <c r="N145" s="15"/>
      <c r="O145" s="15"/>
      <c r="P145" s="15"/>
      <c r="Q145" s="15"/>
      <c r="R145" s="15"/>
      <c r="S145" s="15"/>
      <c r="T145" s="29"/>
      <c r="U145" s="29"/>
      <c r="V145" s="29"/>
      <c r="W145" s="29"/>
      <c r="X145" s="29"/>
      <c r="Y145" s="29"/>
      <c r="Z145" s="29"/>
      <c r="AA145" s="29"/>
      <c r="AB145" s="29"/>
      <c r="AC145" s="29"/>
      <c r="AD145" s="29"/>
      <c r="AE145" s="29"/>
    </row>
    <row r="146" spans="2:31" ht="18.75" hidden="1">
      <c r="B146" s="23"/>
      <c r="C146" s="23"/>
      <c r="D146" s="15"/>
      <c r="E146" s="15"/>
      <c r="F146" s="15"/>
      <c r="G146" s="15"/>
      <c r="H146" s="15"/>
      <c r="I146" s="15"/>
      <c r="J146" s="15"/>
      <c r="K146" s="15"/>
      <c r="L146" s="15"/>
      <c r="M146" s="15"/>
      <c r="N146" s="15"/>
      <c r="O146" s="15"/>
      <c r="P146" s="15"/>
      <c r="Q146" s="15"/>
      <c r="R146" s="15"/>
      <c r="S146" s="15"/>
      <c r="T146" s="2"/>
      <c r="U146" s="2"/>
      <c r="V146" s="2"/>
      <c r="W146" s="2"/>
      <c r="X146" s="2"/>
      <c r="Y146" s="33"/>
      <c r="Z146" s="33"/>
      <c r="AA146" s="33"/>
      <c r="AB146" s="33"/>
      <c r="AC146" s="33"/>
      <c r="AD146" s="33"/>
      <c r="AE146" s="24"/>
    </row>
    <row r="147" spans="2:31" ht="18.75" hidden="1">
      <c r="B147" s="23"/>
      <c r="C147" s="23"/>
      <c r="D147" s="15"/>
      <c r="E147" s="15"/>
      <c r="F147" s="15"/>
      <c r="G147" s="15"/>
      <c r="H147" s="15"/>
      <c r="I147" s="15"/>
      <c r="J147" s="15"/>
      <c r="K147" s="15"/>
      <c r="L147" s="15"/>
      <c r="M147" s="15"/>
      <c r="N147" s="15"/>
      <c r="O147" s="15"/>
      <c r="P147" s="15"/>
      <c r="Q147" s="15"/>
      <c r="R147" s="15"/>
      <c r="S147" s="15"/>
      <c r="T147" s="2"/>
      <c r="U147" s="2"/>
      <c r="V147" s="2"/>
      <c r="W147" s="2"/>
      <c r="X147" s="2"/>
      <c r="Y147" s="33"/>
      <c r="Z147" s="33"/>
      <c r="AA147" s="33"/>
      <c r="AB147" s="33"/>
      <c r="AC147" s="33"/>
      <c r="AD147" s="33"/>
      <c r="AE147" s="24"/>
    </row>
    <row r="148" spans="2:31" ht="18.75" hidden="1">
      <c r="B148" s="23"/>
      <c r="C148" s="23"/>
      <c r="D148" s="15"/>
      <c r="E148" s="15"/>
      <c r="F148" s="15"/>
      <c r="G148" s="15"/>
      <c r="H148" s="15"/>
      <c r="I148" s="15"/>
      <c r="J148" s="15"/>
      <c r="K148" s="15"/>
      <c r="L148" s="15"/>
      <c r="M148" s="15"/>
      <c r="N148" s="15"/>
      <c r="O148" s="15"/>
      <c r="P148" s="15"/>
      <c r="Q148" s="15"/>
      <c r="R148" s="15"/>
      <c r="S148" s="15"/>
      <c r="T148" s="2"/>
      <c r="U148" s="2"/>
      <c r="V148" s="2"/>
      <c r="W148" s="2"/>
      <c r="X148" s="2"/>
      <c r="Y148" s="33"/>
      <c r="Z148" s="33"/>
      <c r="AA148" s="33"/>
      <c r="AB148" s="33"/>
      <c r="AC148" s="33"/>
      <c r="AD148" s="33"/>
      <c r="AE148" s="24"/>
    </row>
    <row r="149" spans="2:31" ht="18.75" hidden="1">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row>
    <row r="150" spans="2:33" ht="18.75">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c r="AG150" s="4"/>
    </row>
    <row r="151" spans="2:31"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4"/>
    </row>
    <row r="152" spans="2:31" ht="18.7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row>
    <row r="153" spans="2:32" ht="23.25">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c r="AF153" s="37"/>
    </row>
    <row r="154" spans="2:31" ht="18.75" customHeight="1" hidden="1">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4"/>
    </row>
    <row r="155" spans="2:31" ht="1.5" customHeight="1" hidden="1">
      <c r="B155" s="23"/>
      <c r="C155" s="23"/>
      <c r="D155" s="15"/>
      <c r="E155" s="15"/>
      <c r="F155" s="15"/>
      <c r="G155" s="15"/>
      <c r="H155" s="15"/>
      <c r="I155" s="15"/>
      <c r="J155" s="15"/>
      <c r="K155" s="15"/>
      <c r="L155" s="15"/>
      <c r="M155" s="15"/>
      <c r="N155" s="15"/>
      <c r="O155" s="15"/>
      <c r="P155" s="15"/>
      <c r="Q155" s="15"/>
      <c r="R155" s="15"/>
      <c r="S155" s="15"/>
      <c r="T155" s="2"/>
      <c r="U155" s="2"/>
      <c r="V155" s="2"/>
      <c r="W155" s="2"/>
      <c r="X155" s="2"/>
      <c r="Y155" s="33"/>
      <c r="Z155" s="33"/>
      <c r="AA155" s="33"/>
      <c r="AB155" s="33"/>
      <c r="AC155" s="35"/>
      <c r="AD155" s="35"/>
      <c r="AE155" s="24"/>
    </row>
    <row r="156" spans="2:31" ht="18.75" hidden="1">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row>
    <row r="157" spans="2:32" ht="18.75" hidden="1">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4"/>
      <c r="AF157" s="18"/>
    </row>
    <row r="158" spans="2:32" ht="18.75" hidden="1">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9"/>
      <c r="AF158" s="18"/>
    </row>
    <row r="159" spans="2:32" ht="18.75">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c r="AF159" s="18"/>
    </row>
    <row r="160" spans="2:32" ht="18.75">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c r="AF160" s="18"/>
    </row>
    <row r="161" spans="2:32" ht="18.75">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9"/>
      <c r="AF161" s="18"/>
    </row>
    <row r="162" spans="2:32" ht="18.75">
      <c r="B162" s="23"/>
      <c r="C162" s="23"/>
      <c r="D162" s="15"/>
      <c r="E162" s="15"/>
      <c r="F162" s="15"/>
      <c r="G162" s="15"/>
      <c r="H162" s="15"/>
      <c r="I162" s="15"/>
      <c r="J162" s="15"/>
      <c r="K162" s="15"/>
      <c r="L162" s="15"/>
      <c r="M162" s="15"/>
      <c r="N162" s="15"/>
      <c r="O162" s="15"/>
      <c r="P162" s="15"/>
      <c r="Q162" s="15"/>
      <c r="R162" s="15"/>
      <c r="S162" s="15"/>
      <c r="T162" s="29"/>
      <c r="U162" s="29"/>
      <c r="V162" s="29"/>
      <c r="W162" s="29"/>
      <c r="X162" s="29"/>
      <c r="Y162" s="29"/>
      <c r="Z162" s="29"/>
      <c r="AA162" s="29"/>
      <c r="AB162" s="29"/>
      <c r="AC162" s="29"/>
      <c r="AD162" s="29"/>
      <c r="AE162" s="29"/>
      <c r="AF162" s="18"/>
    </row>
    <row r="163" spans="2:32" ht="18.75" hidden="1">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9"/>
      <c r="AF163" s="18"/>
    </row>
    <row r="164" spans="2:32" ht="18.75" hidden="1">
      <c r="B164" s="23"/>
      <c r="C164" s="23"/>
      <c r="D164" s="15"/>
      <c r="E164" s="15"/>
      <c r="F164" s="15"/>
      <c r="G164" s="15"/>
      <c r="H164" s="15"/>
      <c r="I164" s="15"/>
      <c r="J164" s="15"/>
      <c r="K164" s="15"/>
      <c r="L164" s="15"/>
      <c r="M164" s="15"/>
      <c r="N164" s="15"/>
      <c r="O164" s="15"/>
      <c r="P164" s="15"/>
      <c r="Q164" s="15"/>
      <c r="R164" s="15"/>
      <c r="S164" s="15"/>
      <c r="T164" s="29"/>
      <c r="U164" s="29"/>
      <c r="V164" s="29"/>
      <c r="W164" s="29"/>
      <c r="X164" s="29"/>
      <c r="Y164" s="29"/>
      <c r="Z164" s="29"/>
      <c r="AA164" s="29"/>
      <c r="AB164" s="29"/>
      <c r="AC164" s="29"/>
      <c r="AD164" s="29"/>
      <c r="AE164" s="29"/>
      <c r="AF164" s="18"/>
    </row>
    <row r="165" spans="2:32" ht="18.75" hidden="1">
      <c r="B165" s="23"/>
      <c r="C165" s="23"/>
      <c r="D165" s="15"/>
      <c r="E165" s="15"/>
      <c r="F165" s="15"/>
      <c r="G165" s="15"/>
      <c r="H165" s="15"/>
      <c r="I165" s="15"/>
      <c r="J165" s="15"/>
      <c r="K165" s="15"/>
      <c r="L165" s="15"/>
      <c r="M165" s="15"/>
      <c r="N165" s="15"/>
      <c r="O165" s="15"/>
      <c r="P165" s="15"/>
      <c r="Q165" s="15"/>
      <c r="R165" s="15"/>
      <c r="S165" s="15"/>
      <c r="T165" s="29"/>
      <c r="U165" s="29"/>
      <c r="V165" s="29"/>
      <c r="W165" s="29"/>
      <c r="X165" s="29"/>
      <c r="Y165" s="29"/>
      <c r="Z165" s="29"/>
      <c r="AA165" s="29"/>
      <c r="AB165" s="29"/>
      <c r="AC165" s="29"/>
      <c r="AD165" s="29"/>
      <c r="AE165" s="29"/>
      <c r="AF165" s="18"/>
    </row>
    <row r="166" spans="2:32" ht="27" customHeight="1">
      <c r="B166" s="23"/>
      <c r="C166" s="23"/>
      <c r="D166" s="15"/>
      <c r="E166" s="15"/>
      <c r="F166" s="15"/>
      <c r="G166" s="15"/>
      <c r="H166" s="15"/>
      <c r="I166" s="15"/>
      <c r="J166" s="15"/>
      <c r="K166" s="15"/>
      <c r="L166" s="15"/>
      <c r="M166" s="15"/>
      <c r="N166" s="15"/>
      <c r="O166" s="15"/>
      <c r="P166" s="15"/>
      <c r="Q166" s="15"/>
      <c r="R166" s="15"/>
      <c r="S166" s="15"/>
      <c r="T166" s="44"/>
      <c r="U166" s="44"/>
      <c r="V166" s="44"/>
      <c r="W166" s="44"/>
      <c r="X166" s="44"/>
      <c r="Y166" s="44"/>
      <c r="Z166" s="44"/>
      <c r="AA166" s="44"/>
      <c r="AB166" s="44"/>
      <c r="AC166" s="44"/>
      <c r="AD166" s="44"/>
      <c r="AE166" s="44"/>
      <c r="AF166" s="18"/>
    </row>
    <row r="167" spans="2:32" ht="18.75">
      <c r="B167" s="23"/>
      <c r="C167" s="23"/>
      <c r="D167" s="15"/>
      <c r="E167" s="15"/>
      <c r="F167" s="15"/>
      <c r="G167" s="15"/>
      <c r="H167" s="15"/>
      <c r="I167" s="15"/>
      <c r="J167" s="15"/>
      <c r="K167" s="15"/>
      <c r="L167" s="15"/>
      <c r="M167" s="15"/>
      <c r="N167" s="15"/>
      <c r="O167" s="15"/>
      <c r="P167" s="15"/>
      <c r="Q167" s="15"/>
      <c r="R167" s="15"/>
      <c r="S167" s="15"/>
      <c r="T167" s="32"/>
      <c r="U167" s="32"/>
      <c r="V167" s="32"/>
      <c r="W167" s="32"/>
      <c r="X167" s="32"/>
      <c r="Y167" s="29"/>
      <c r="Z167" s="29"/>
      <c r="AA167" s="29"/>
      <c r="AB167" s="29"/>
      <c r="AC167" s="29"/>
      <c r="AD167" s="29"/>
      <c r="AE167" s="24"/>
      <c r="AF167" s="18"/>
    </row>
    <row r="168" spans="2:32" ht="18.75">
      <c r="B168" s="23"/>
      <c r="C168" s="23"/>
      <c r="D168" s="2"/>
      <c r="E168" s="2"/>
      <c r="F168" s="2"/>
      <c r="G168" s="2"/>
      <c r="H168" s="2"/>
      <c r="I168" s="2"/>
      <c r="J168" s="2"/>
      <c r="K168" s="2"/>
      <c r="L168" s="2"/>
      <c r="M168" s="2"/>
      <c r="N168" s="2"/>
      <c r="O168" s="2"/>
      <c r="P168" s="2"/>
      <c r="Q168" s="2"/>
      <c r="R168" s="2"/>
      <c r="S168" s="2"/>
      <c r="T168" s="46"/>
      <c r="U168" s="46"/>
      <c r="V168" s="46"/>
      <c r="W168" s="46"/>
      <c r="X168" s="46"/>
      <c r="Y168" s="46"/>
      <c r="Z168" s="46"/>
      <c r="AA168" s="46"/>
      <c r="AB168" s="46"/>
      <c r="AC168" s="46"/>
      <c r="AD168" s="46"/>
      <c r="AE168" s="46"/>
      <c r="AF168" s="18"/>
    </row>
    <row r="169" spans="2:31" ht="24.75" customHeight="1">
      <c r="B169" s="23"/>
      <c r="C169" s="23"/>
      <c r="D169" s="28"/>
      <c r="E169" s="28"/>
      <c r="F169" s="28"/>
      <c r="G169" s="28"/>
      <c r="H169" s="28"/>
      <c r="I169" s="28"/>
      <c r="J169" s="28"/>
      <c r="K169" s="28"/>
      <c r="L169" s="28"/>
      <c r="M169" s="28"/>
      <c r="N169" s="28"/>
      <c r="O169" s="28"/>
      <c r="P169" s="28"/>
      <c r="Q169" s="28"/>
      <c r="R169" s="28"/>
      <c r="S169" s="28"/>
      <c r="T169" s="31"/>
      <c r="U169" s="31"/>
      <c r="V169" s="31"/>
      <c r="W169" s="31"/>
      <c r="X169" s="31"/>
      <c r="Y169" s="29"/>
      <c r="Z169" s="29"/>
      <c r="AA169" s="29"/>
      <c r="AB169" s="29"/>
      <c r="AC169" s="29"/>
      <c r="AD169" s="29"/>
      <c r="AE169" s="24"/>
    </row>
    <row r="170" spans="2:31" ht="18.75">
      <c r="B170" s="23"/>
      <c r="C170" s="23"/>
      <c r="D170" s="2"/>
      <c r="E170" s="2"/>
      <c r="F170" s="2"/>
      <c r="G170" s="2"/>
      <c r="H170" s="2"/>
      <c r="I170" s="2"/>
      <c r="J170" s="2"/>
      <c r="K170" s="2"/>
      <c r="L170" s="2"/>
      <c r="M170" s="2"/>
      <c r="N170" s="2"/>
      <c r="O170" s="2"/>
      <c r="P170" s="2"/>
      <c r="Q170" s="2"/>
      <c r="R170" s="2"/>
      <c r="S170" s="2"/>
      <c r="T170" s="2"/>
      <c r="U170" s="2"/>
      <c r="V170" s="2"/>
      <c r="W170" s="2"/>
      <c r="X170" s="2"/>
      <c r="Y170" s="4"/>
      <c r="Z170" s="4"/>
      <c r="AA170" s="4"/>
      <c r="AB170" s="4"/>
      <c r="AC170" s="26"/>
      <c r="AD170" s="26"/>
      <c r="AE170" s="24"/>
    </row>
    <row r="171" spans="2:31" ht="18.75">
      <c r="B171" s="23"/>
      <c r="C171" s="23"/>
      <c r="D171" s="2"/>
      <c r="E171" s="2"/>
      <c r="F171" s="2"/>
      <c r="G171" s="2"/>
      <c r="H171" s="2"/>
      <c r="I171" s="2"/>
      <c r="J171" s="2"/>
      <c r="K171" s="2"/>
      <c r="L171" s="2"/>
      <c r="M171" s="2"/>
      <c r="N171" s="2"/>
      <c r="O171" s="2"/>
      <c r="P171" s="2"/>
      <c r="Q171" s="2"/>
      <c r="R171" s="2"/>
      <c r="S171" s="2"/>
      <c r="T171" s="2"/>
      <c r="U171" s="2"/>
      <c r="V171" s="2"/>
      <c r="W171" s="2"/>
      <c r="X171" s="2"/>
      <c r="AC171" s="5"/>
      <c r="AD171" s="5"/>
      <c r="AE171" s="24"/>
    </row>
    <row r="172" spans="2:31" ht="18.75">
      <c r="B172" s="23"/>
      <c r="C172" s="23"/>
      <c r="D172" s="2"/>
      <c r="E172" s="2"/>
      <c r="F172" s="2"/>
      <c r="G172" s="2"/>
      <c r="H172" s="2"/>
      <c r="I172" s="2"/>
      <c r="J172" s="2"/>
      <c r="K172" s="2"/>
      <c r="L172" s="2"/>
      <c r="M172" s="2"/>
      <c r="N172" s="2"/>
      <c r="O172" s="2"/>
      <c r="P172" s="2"/>
      <c r="Q172" s="2"/>
      <c r="R172" s="2"/>
      <c r="S172" s="2"/>
      <c r="T172" s="48"/>
      <c r="U172" s="2"/>
      <c r="V172" s="2"/>
      <c r="W172" s="2"/>
      <c r="X172" s="2"/>
      <c r="AC172" s="5"/>
      <c r="AD172" s="5"/>
      <c r="AE172" s="24"/>
    </row>
    <row r="173" spans="2:31" ht="18.75">
      <c r="B173" s="23"/>
      <c r="C173" s="23"/>
      <c r="D173" s="2"/>
      <c r="E173" s="2"/>
      <c r="F173" s="2"/>
      <c r="G173" s="2"/>
      <c r="H173" s="2"/>
      <c r="I173" s="2"/>
      <c r="J173" s="2"/>
      <c r="K173" s="2"/>
      <c r="L173" s="2"/>
      <c r="M173" s="2"/>
      <c r="N173" s="2"/>
      <c r="O173" s="2"/>
      <c r="P173" s="2"/>
      <c r="Q173" s="2"/>
      <c r="R173" s="2"/>
      <c r="S173" s="2"/>
      <c r="T173" s="2"/>
      <c r="U173" s="2"/>
      <c r="V173" s="2"/>
      <c r="W173" s="2"/>
      <c r="X173" s="2"/>
      <c r="AC173" s="5"/>
      <c r="AD173" s="5"/>
      <c r="AE173" s="24"/>
    </row>
    <row r="174" spans="2:31" ht="18.75">
      <c r="B174" s="23"/>
      <c r="C174" s="23"/>
      <c r="D174" s="2"/>
      <c r="E174" s="2"/>
      <c r="F174" s="2"/>
      <c r="G174" s="2"/>
      <c r="H174" s="2"/>
      <c r="I174" s="2"/>
      <c r="J174" s="2"/>
      <c r="K174" s="2"/>
      <c r="L174" s="2"/>
      <c r="M174" s="2"/>
      <c r="N174" s="2"/>
      <c r="O174" s="2"/>
      <c r="P174" s="2"/>
      <c r="Q174" s="2"/>
      <c r="R174" s="2"/>
      <c r="S174" s="2"/>
      <c r="T174" s="2"/>
      <c r="U174" s="2"/>
      <c r="V174" s="2"/>
      <c r="W174" s="2"/>
      <c r="X174" s="2"/>
      <c r="AC174" s="5"/>
      <c r="AD174" s="5"/>
      <c r="AE174" s="24"/>
    </row>
    <row r="175" spans="2:31" ht="18.75">
      <c r="B175" s="23"/>
      <c r="C175" s="23"/>
      <c r="D175" s="2"/>
      <c r="E175" s="2"/>
      <c r="F175" s="2"/>
      <c r="G175" s="2"/>
      <c r="H175" s="2"/>
      <c r="I175" s="2"/>
      <c r="J175" s="2"/>
      <c r="K175" s="2"/>
      <c r="L175" s="2"/>
      <c r="M175" s="2"/>
      <c r="N175" s="2"/>
      <c r="O175" s="2"/>
      <c r="P175" s="2"/>
      <c r="Q175" s="2"/>
      <c r="R175" s="2"/>
      <c r="S175" s="2"/>
      <c r="T175" s="2"/>
      <c r="U175" s="2"/>
      <c r="V175" s="2"/>
      <c r="W175" s="2"/>
      <c r="X175" s="2"/>
      <c r="AE175" s="24"/>
    </row>
    <row r="176" spans="2:31" ht="18.75">
      <c r="B176" s="23"/>
      <c r="C176" s="23"/>
      <c r="D176" s="2"/>
      <c r="E176" s="2"/>
      <c r="F176" s="2"/>
      <c r="G176" s="2"/>
      <c r="H176" s="2"/>
      <c r="I176" s="2"/>
      <c r="J176" s="2"/>
      <c r="K176" s="2"/>
      <c r="L176" s="2"/>
      <c r="M176" s="2"/>
      <c r="N176" s="2"/>
      <c r="O176" s="2"/>
      <c r="P176" s="2"/>
      <c r="Q176" s="2"/>
      <c r="R176" s="2"/>
      <c r="S176" s="2"/>
      <c r="T176" s="2"/>
      <c r="U176" s="2"/>
      <c r="V176" s="2"/>
      <c r="W176" s="2"/>
      <c r="X176" s="2"/>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E178" s="24"/>
    </row>
    <row r="179" spans="2:31" ht="18.75">
      <c r="B179" s="23"/>
      <c r="C179" s="23"/>
      <c r="D179" s="2"/>
      <c r="E179" s="2"/>
      <c r="F179" s="2"/>
      <c r="G179" s="2"/>
      <c r="H179" s="2"/>
      <c r="I179" s="2"/>
      <c r="J179" s="2"/>
      <c r="K179" s="2"/>
      <c r="L179" s="2"/>
      <c r="M179" s="2"/>
      <c r="N179" s="2"/>
      <c r="O179" s="2"/>
      <c r="P179" s="2"/>
      <c r="Q179" s="2"/>
      <c r="R179" s="2"/>
      <c r="S179" s="2"/>
      <c r="T179" s="2"/>
      <c r="U179" s="2"/>
      <c r="V179" s="2"/>
      <c r="W179" s="2"/>
      <c r="X179" s="2"/>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23"/>
      <c r="C207" s="23"/>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sheetData>
  <sheetProtection/>
  <mergeCells count="45">
    <mergeCell ref="D50:E50"/>
    <mergeCell ref="D112:E112"/>
    <mergeCell ref="V8:V9"/>
    <mergeCell ref="B6:B9"/>
    <mergeCell ref="D6:D9"/>
    <mergeCell ref="J6:N6"/>
    <mergeCell ref="O6:S6"/>
    <mergeCell ref="Q8:Q9"/>
    <mergeCell ref="AC127:AD127"/>
    <mergeCell ref="I7:I9"/>
    <mergeCell ref="K7:K9"/>
    <mergeCell ref="M8:M9"/>
    <mergeCell ref="L8:L9"/>
    <mergeCell ref="J7:J9"/>
    <mergeCell ref="P7:P9"/>
    <mergeCell ref="O7:O9"/>
    <mergeCell ref="N7:N9"/>
    <mergeCell ref="S7:S9"/>
    <mergeCell ref="B4:AE4"/>
    <mergeCell ref="Y7:Y9"/>
    <mergeCell ref="Z7:Z9"/>
    <mergeCell ref="AA7:AB7"/>
    <mergeCell ref="AC7:AC9"/>
    <mergeCell ref="E6:I6"/>
    <mergeCell ref="L7:M7"/>
    <mergeCell ref="W8:W9"/>
    <mergeCell ref="T7:T9"/>
    <mergeCell ref="V7:W7"/>
    <mergeCell ref="A6:A9"/>
    <mergeCell ref="H8:H9"/>
    <mergeCell ref="F7:F9"/>
    <mergeCell ref="E7:E9"/>
    <mergeCell ref="G7:H7"/>
    <mergeCell ref="G8:G9"/>
    <mergeCell ref="C6:C9"/>
    <mergeCell ref="AE6:AE9"/>
    <mergeCell ref="Y6:AD6"/>
    <mergeCell ref="R8:R9"/>
    <mergeCell ref="AD8:AD9"/>
    <mergeCell ref="AB8:AB9"/>
    <mergeCell ref="U7:U9"/>
    <mergeCell ref="AA8:AA9"/>
    <mergeCell ref="T6:X6"/>
    <mergeCell ref="X7:X9"/>
    <mergeCell ref="Q7:R7"/>
  </mergeCells>
  <conditionalFormatting sqref="AE169:AE237 AE146:AE148 AE151 AE167 AE154:AE155 AE157 AF120:AF125 T92:T125 U119:AE119 Y18:Y46 AF63 T63 W55:AE55 V56:AE118 U49:U118 X25:X45 AE120:AE128 V11:Y17 V18:X24 T49:T50 S51:T53 T54:T61 S47:AA48 AC47:AD48 T11:U46 V25:W46 U120:AD125 V49:AE54 AE11:AE48 Z12:AD46">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3" r:id="rId1"/>
  <rowBreaks count="7" manualBreakCount="7">
    <brk id="39" max="30" man="1"/>
    <brk id="57" max="30" man="1"/>
    <brk id="61" max="30" man="1"/>
    <brk id="72" max="30" man="1"/>
    <brk id="82" max="30" man="1"/>
    <brk id="97" max="30" man="1"/>
    <brk id="127"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2016-06-07T14:05:38Z</cp:lastPrinted>
  <dcterms:created xsi:type="dcterms:W3CDTF">2002-12-20T15:22:07Z</dcterms:created>
  <dcterms:modified xsi:type="dcterms:W3CDTF">2016-06-07T14:51:25Z</dcterms:modified>
  <cp:category/>
  <cp:version/>
  <cp:contentType/>
  <cp:contentStatus/>
</cp:coreProperties>
</file>